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mand Center" sheetId="1" state="visible" r:id="rId3"/>
    <sheet name="Monthly Tracker" sheetId="2" state="visible" r:id="rId4"/>
    <sheet name="Savings Finder" sheetId="3" state="visible" r:id="rId5"/>
    <sheet name="Growth Projections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<sst xmlns="http://schemas.openxmlformats.org/spreadsheetml/2006/main" count="117" uniqueCount="114">
  <si>
    <t xml:space="preserve">EMERGENCY FUND BUILDER</t>
  </si>
  <si>
    <t xml:space="preserve">  Your financial safety net tracker  ·  Built for the chaos of Gen Z life  ·  Powered by dollarvista.com</t>
  </si>
  <si>
    <t xml:space="preserve">  ⚙  YOUR SETUP</t>
  </si>
  <si>
    <t xml:space="preserve">  📊  LIVE METRICS</t>
  </si>
  <si>
    <t xml:space="preserve">  Monthly Essentials</t>
  </si>
  <si>
    <t xml:space="preserve">  GOAL AMOUNT</t>
  </si>
  <si>
    <t xml:space="preserve">  SAVED SO FAR</t>
  </si>
  <si>
    <t xml:space="preserve">  GAP REMAINING</t>
  </si>
  <si>
    <t xml:space="preserve">  Rent + bills + food only</t>
  </si>
  <si>
    <t xml:space="preserve">  Safety Net Target</t>
  </si>
  <si>
    <t xml:space="preserve">  Total you need to save</t>
  </si>
  <si>
    <t xml:space="preserve">  Current balance</t>
  </si>
  <si>
    <t xml:space="preserve">  Still need to save</t>
  </si>
  <si>
    <t xml:space="preserve">  Months of expenses to save</t>
  </si>
  <si>
    <t xml:space="preserve">  % COMPLETE</t>
  </si>
  <si>
    <t xml:space="preserve">  MONTHS TO GOAL</t>
  </si>
  <si>
    <t xml:space="preserve">  DAILY RATE NEEDED</t>
  </si>
  <si>
    <t xml:space="preserve">  Saved So Far</t>
  </si>
  <si>
    <t xml:space="preserve">  In your emergency account</t>
  </si>
  <si>
    <t xml:space="preserve">  How far you are</t>
  </si>
  <si>
    <t xml:space="preserve">  At current pace</t>
  </si>
  <si>
    <t xml:space="preserve">  To hit goal</t>
  </si>
  <si>
    <t xml:space="preserve">  Monthly Contribution</t>
  </si>
  <si>
    <t xml:space="preserve">  ← Edit the green cells. Everything updates automatically.</t>
  </si>
  <si>
    <t xml:space="preserve">  🔥  PROGRESS TO FREEDOM</t>
  </si>
  <si>
    <t xml:space="preserve">  🗺️  MILESTONE TRACKER  — unlock each level of protection</t>
  </si>
  <si>
    <t xml:space="preserve">LEVEL</t>
  </si>
  <si>
    <t xml:space="preserve">WHAT IT COVERS</t>
  </si>
  <si>
    <t xml:space="preserve">TARGET</t>
  </si>
  <si>
    <t xml:space="preserve">STATUS</t>
  </si>
  <si>
    <t xml:space="preserve">UNLOCKED?</t>
  </si>
  <si>
    <t xml:space="preserve">  LV.01</t>
  </si>
  <si>
    <t xml:space="preserve">  🛡️  $200 Starter Shield  ·  Car tire, urgent meds, broken phone</t>
  </si>
  <si>
    <t xml:space="preserve">  LV.02</t>
  </si>
  <si>
    <t xml:space="preserve">  🔑  $500 First Buffer  ·  Month's groceries + unexpected bill</t>
  </si>
  <si>
    <t xml:space="preserve">  LV.03</t>
  </si>
  <si>
    <t xml:space="preserve">  🚗  $1,200 Rent Gap  ·  One missed paycheck covered</t>
  </si>
  <si>
    <t xml:space="preserve">  LV.04</t>
  </si>
  <si>
    <t xml:space="preserve">  🏥  $2,500 ER Visit  ·  Hospital visit without debt spiral</t>
  </si>
  <si>
    <t xml:space="preserve">  LV.05</t>
  </si>
  <si>
    <t xml:space="preserve">  💼  $3,500 One Month Free  ·  Quit toxic job. Breathe for 30 days.</t>
  </si>
  <si>
    <t xml:space="preserve">  LV.06</t>
  </si>
  <si>
    <t xml:space="preserve">  🎯  3-Month Target  ·  Golden standard. Sleep easy.</t>
  </si>
  <si>
    <t xml:space="preserve">  LV.07</t>
  </si>
  <si>
    <t xml:space="preserve">  🔥  6-Month Fortress  ·  Career pivot. City move. True freedom.</t>
  </si>
  <si>
    <t xml:space="preserve">  ⚡  REALITY CHECK — what you're actually protected against</t>
  </si>
  <si>
    <t xml:space="preserve">Days of Runway</t>
  </si>
  <si>
    <t xml:space="preserve">ER Visit covered?</t>
  </si>
  <si>
    <t xml:space="preserve">Car breakdown?</t>
  </si>
  <si>
    <t xml:space="preserve">Rent if fired?</t>
  </si>
  <si>
    <t xml:space="preserve">Job loss 1 month?</t>
  </si>
  <si>
    <t xml:space="preserve">  ⚡ Powered by dollarvista.com  ·  Emergency Fund Builder v2.0  ·  Built for Gen Z financial freedom</t>
  </si>
  <si>
    <t xml:space="preserve">MONTHLY SAVINGS TRACKER</t>
  </si>
  <si>
    <t xml:space="preserve">  Log your monthly deposits · Watch your safety net grow · Yellow cells = your input</t>
  </si>
  <si>
    <t xml:space="preserve">MONTH</t>
  </si>
  <si>
    <t xml:space="preserve">DEPOSITED ($)</t>
  </si>
  <si>
    <t xml:space="preserve">CUMULATIVE ($)</t>
  </si>
  <si>
    <t xml:space="preserve">GOAL/MO ($)</t>
  </si>
  <si>
    <t xml:space="preserve">% OF GOAL</t>
  </si>
  <si>
    <t xml:space="preserve">STREAK</t>
  </si>
  <si>
    <t xml:space="preserve">NOTES</t>
  </si>
  <si>
    <t xml:space="preserve">Jan 2025</t>
  </si>
  <si>
    <t xml:space="preserve">Feb 2025</t>
  </si>
  <si>
    <t xml:space="preserve">Mar 2025</t>
  </si>
  <si>
    <t xml:space="preserve">Apr 2025</t>
  </si>
  <si>
    <t xml:space="preserve">May 2025</t>
  </si>
  <si>
    <t xml:space="preserve">Jun 2025</t>
  </si>
  <si>
    <t xml:space="preserve">Jul 2025</t>
  </si>
  <si>
    <t xml:space="preserve">Aug 2025</t>
  </si>
  <si>
    <t xml:space="preserve">Sep 2025</t>
  </si>
  <si>
    <t xml:space="preserve">Oct 2025</t>
  </si>
  <si>
    <t xml:space="preserve">Nov 2025</t>
  </si>
  <si>
    <t xml:space="preserve">Dec 2025</t>
  </si>
  <si>
    <t xml:space="preserve">YEAR TOTAL</t>
  </si>
  <si>
    <t xml:space="preserve">  ⚡ Powered by dollarvista.com  ·  Emergency Fund Builder  ·  Monthly Tracker</t>
  </si>
  <si>
    <t xml:space="preserve">SAVINGS FINDER</t>
  </si>
  <si>
    <t xml:space="preserve">  Find hidden money in your current spending · Yellow = what you actually spend</t>
  </si>
  <si>
    <t xml:space="preserve">EXPENSE</t>
  </si>
  <si>
    <t xml:space="preserve">CURRENT/MO</t>
  </si>
  <si>
    <t xml:space="preserve">CUT TARGET</t>
  </si>
  <si>
    <t xml:space="preserve">MONTHLY SAVE</t>
  </si>
  <si>
    <t xml:space="preserve">ANNUAL SAVE</t>
  </si>
  <si>
    <t xml:space="preserve">  Streaming (Netflix/Hulu/Max)</t>
  </si>
  <si>
    <t xml:space="preserve">  Music (Spotify/Apple)</t>
  </si>
  <si>
    <t xml:space="preserve">  DoorDash / Uber Eats</t>
  </si>
  <si>
    <t xml:space="preserve">  Coffee runs (Starbucks etc.)</t>
  </si>
  <si>
    <t xml:space="preserve">  Gym (are you even going?)</t>
  </si>
  <si>
    <t xml:space="preserve">  Amazon impulse buys</t>
  </si>
  <si>
    <t xml:space="preserve">  Bars / going out</t>
  </si>
  <si>
    <t xml:space="preserve">  Fashion / SHEIN / apps</t>
  </si>
  <si>
    <t xml:space="preserve">  Uber/Lyft rides</t>
  </si>
  <si>
    <t xml:space="preserve">  Convenience store / snacks</t>
  </si>
  <si>
    <t xml:space="preserve">  Other subscriptions</t>
  </si>
  <si>
    <t xml:space="preserve">  Random stuff you forget</t>
  </si>
  <si>
    <t xml:space="preserve">  TOTAL SAVINGS POTENTIAL</t>
  </si>
  <si>
    <t xml:space="preserve">  ⚡ Powered by dollarvista.com  ·  Find the money you didn't know you had</t>
  </si>
  <si>
    <t xml:space="preserve">GROWTH PROJECTIONS</t>
  </si>
  <si>
    <t xml:space="preserve">  See exactly where you'll be at 3, 6, 9, 12, 18, 24 months · Assumes HYSA 4.5% APY</t>
  </si>
  <si>
    <t xml:space="preserve">BALANCE (NO INTEREST)</t>
  </si>
  <si>
    <t xml:space="preserve">WITH HYSA 4.5%</t>
  </si>
  <si>
    <t xml:space="preserve">MONTHLY INTEREST</t>
  </si>
  <si>
    <t xml:space="preserve">Month 1</t>
  </si>
  <si>
    <t xml:space="preserve">Month 2</t>
  </si>
  <si>
    <t xml:space="preserve">Month 3</t>
  </si>
  <si>
    <t xml:space="preserve">Month 4</t>
  </si>
  <si>
    <t xml:space="preserve">Month 5</t>
  </si>
  <si>
    <t xml:space="preserve">Month 6</t>
  </si>
  <si>
    <t xml:space="preserve">Month 9</t>
  </si>
  <si>
    <t xml:space="preserve">Month 12</t>
  </si>
  <si>
    <t xml:space="preserve">Month 15</t>
  </si>
  <si>
    <t xml:space="preserve">Month 18</t>
  </si>
  <si>
    <t xml:space="preserve">Month 21</t>
  </si>
  <si>
    <t xml:space="preserve">Month 24</t>
  </si>
  <si>
    <t xml:space="preserve">  ⚡ Powered by dollarvista.com  ·  High-yield savings = your money making money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</si>
</sst>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\$#,##0"/>
    <numFmt numFmtId="166" formatCode="0&quot; months&quot;"/>
    <numFmt numFmtId="167" formatCode="0.0%"/>
    <numFmt numFmtId="168" formatCode="0&quot; mo&quot;"/>
    <numFmt numFmtId="169" formatCode="\$#,##0.00&quot;/day&quot;"/>
    <numFmt numFmtId="170" formatCode="0%"/>
  </numFmts>
  <fonts count="4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6"/>
      <color rgb="FF00E5A0"/>
      <name val="Calibri"/>
      <family val="0"/>
      <charset val="1"/>
    </font>
    <font>
      <i val="true"/>
      <sz val="10"/>
      <color rgb="FF9CA3AF"/>
      <name val="Calibri"/>
      <family val="0"/>
      <charset val="1"/>
    </font>
    <font>
      <b val="true"/>
      <sz val="9"/>
      <color rgb="FF00E5A0"/>
      <name val="Calibri"/>
      <family val="0"/>
      <charset val="1"/>
    </font>
    <font>
      <b val="true"/>
      <sz val="9"/>
      <color rgb="FF3B82F6"/>
      <name val="Calibri"/>
      <family val="0"/>
      <charset val="1"/>
    </font>
    <font>
      <b val="true"/>
      <sz val="10"/>
      <color rgb="FFD1D5DB"/>
      <name val="Calibri"/>
      <family val="0"/>
      <charset val="1"/>
    </font>
    <font>
      <b val="true"/>
      <sz val="14"/>
      <color rgb="FF00E5A0"/>
      <name val="Calibri"/>
      <family val="0"/>
      <charset val="1"/>
    </font>
    <font>
      <b val="true"/>
      <sz val="8"/>
      <color rgb="FF3B82F6"/>
      <name val="Calibri"/>
      <family val="0"/>
      <charset val="1"/>
    </font>
    <font>
      <b val="true"/>
      <sz val="8"/>
      <color rgb="FF00E5A0"/>
      <name val="Calibri"/>
      <family val="0"/>
      <charset val="1"/>
    </font>
    <font>
      <b val="true"/>
      <sz val="8"/>
      <color rgb="FFF59E0B"/>
      <name val="Calibri"/>
      <family val="0"/>
      <charset val="1"/>
    </font>
    <font>
      <i val="true"/>
      <sz val="8"/>
      <color rgb="FF4B5563"/>
      <name val="Calibri"/>
      <family val="0"/>
      <charset val="1"/>
    </font>
    <font>
      <b val="true"/>
      <sz val="20"/>
      <color rgb="FFFFFFFF"/>
      <name val="Calibri"/>
      <family val="0"/>
      <charset val="1"/>
    </font>
    <font>
      <b val="true"/>
      <sz val="8"/>
      <color rgb="FF8B5CF6"/>
      <name val="Calibri"/>
      <family val="0"/>
      <charset val="1"/>
    </font>
    <font>
      <b val="true"/>
      <sz val="8"/>
      <color rgb="FFEF4444"/>
      <name val="Calibri"/>
      <family val="0"/>
      <charset val="1"/>
    </font>
    <font>
      <b val="true"/>
      <sz val="8"/>
      <color rgb="FFD1D5DB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9"/>
      <color rgb="FFF59E0B"/>
      <name val="Calibri"/>
      <family val="0"/>
      <charset val="1"/>
    </font>
    <font>
      <b val="true"/>
      <sz val="8"/>
      <color rgb="FF4B5563"/>
      <name val="Calibri"/>
      <family val="0"/>
      <charset val="1"/>
    </font>
    <font>
      <sz val="9"/>
      <color rgb="FFD1D5DB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9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9"/>
      <color rgb="FFEF4444"/>
      <name val="Calibri"/>
      <family val="0"/>
      <charset val="1"/>
    </font>
    <font>
      <b val="true"/>
      <sz val="11"/>
      <color rgb="FF00E5A0"/>
      <name val="Calibri"/>
      <family val="0"/>
      <charset val="1"/>
    </font>
    <font>
      <b val="true"/>
      <sz val="10"/>
      <color rgb="FF0A0E1A"/>
      <name val="Calibri"/>
      <family val="0"/>
      <charset val="1"/>
    </font>
    <font>
      <b val="true"/>
      <sz val="22"/>
      <color rgb="FF3B82F6"/>
      <name val="Calibri"/>
      <family val="0"/>
      <charset val="1"/>
    </font>
    <font>
      <b val="true"/>
      <sz val="8"/>
      <color rgb="FF9CA3AF"/>
      <name val="Calibri"/>
      <family val="0"/>
      <charset val="1"/>
    </font>
    <font>
      <b val="true"/>
      <sz val="12"/>
      <color rgb="FF00E5A0"/>
      <name val="Calibri"/>
      <family val="0"/>
      <charset val="1"/>
    </font>
    <font>
      <b val="true"/>
      <sz val="12"/>
      <color rgb="FFFFFFFF"/>
      <name val="Calibri"/>
      <family val="0"/>
      <charset val="1"/>
    </font>
    <font>
      <sz val="10"/>
      <color rgb="FF9CA3AF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4"/>
      <color rgb="FF0A0E1A"/>
      <name val="Calibri"/>
      <family val="0"/>
      <charset val="1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22"/>
      <color rgb="FFF59E0B"/>
      <name val="Calibri"/>
      <family val="0"/>
      <charset val="1"/>
    </font>
    <font>
      <sz val="10"/>
      <color rgb="FFD1D5DB"/>
      <name val="Calibri"/>
      <family val="0"/>
      <charset val="1"/>
    </font>
    <font>
      <b val="true"/>
      <sz val="11"/>
      <color rgb="FFF59E0B"/>
      <name val="Calibri"/>
      <family val="0"/>
      <charset val="1"/>
    </font>
    <font>
      <b val="true"/>
      <sz val="11"/>
      <color rgb="FF0A0E1A"/>
      <name val="Calibri"/>
      <family val="0"/>
      <charset val="1"/>
    </font>
    <font>
      <b val="true"/>
      <sz val="13"/>
      <color rgb="FF0A0E1A"/>
      <name val="Calibri"/>
      <family val="0"/>
      <charset val="1"/>
    </font>
    <font>
      <b val="true"/>
      <sz val="16"/>
      <color rgb="FF0A0E1A"/>
      <name val="Calibri"/>
      <family val="0"/>
      <charset val="1"/>
    </font>
    <font>
      <b val="true"/>
      <sz val="22"/>
      <color rgb="FF8B5CF6"/>
      <name val="Calibri"/>
      <family val="0"/>
      <charset val="1"/>
    </font>
    <font>
      <b val="true"/>
      <sz val="11"/>
      <color rgb="FF8B5CF6"/>
      <name val="Calibri"/>
      <family val="0"/>
      <charset val="1"/>
    </font>
    <font>
      <sz val="10"/>
      <color rgb="FF00E5A0"/>
      <name val="Calibri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0A0E1A"/>
        <bgColor rgb="FF111827"/>
      </patternFill>
    </fill>
    <fill>
      <patternFill patternType="solid">
        <fgColor rgb="FF00E5A0"/>
        <bgColor rgb="FF33CCCC"/>
      </patternFill>
    </fill>
    <fill>
      <patternFill patternType="solid">
        <fgColor rgb="FF111827"/>
        <bgColor rgb="FF0A0E1A"/>
      </patternFill>
    </fill>
    <fill>
      <patternFill patternType="solid">
        <fgColor rgb="FF1A2235"/>
        <bgColor rgb="FF1E2D42"/>
      </patternFill>
    </fill>
    <fill>
      <patternFill patternType="solid">
        <fgColor rgb="FF3B82F6"/>
        <bgColor rgb="FF0066CC"/>
      </patternFill>
    </fill>
    <fill>
      <patternFill patternType="solid">
        <fgColor rgb="FF0D2B1A"/>
        <bgColor rgb="FF1A2235"/>
      </patternFill>
    </fill>
    <fill>
      <patternFill patternType="solid">
        <fgColor rgb="FFF59E0B"/>
        <bgColor rgb="FFFFCC00"/>
      </patternFill>
    </fill>
    <fill>
      <patternFill patternType="solid">
        <fgColor rgb="FF2B1A00"/>
        <bgColor rgb="FF111827"/>
      </patternFill>
    </fill>
    <fill>
      <patternFill patternType="solid">
        <fgColor rgb="FF8B5CF6"/>
        <bgColor rgb="FF878787"/>
      </patternFill>
    </fill>
  </fills>
  <borders count="19">
    <border diagonalUp="false" diagonalDown="false">
      <left/>
      <right/>
      <top/>
      <bottom/>
      <diagonal/>
    </border>
    <border diagonalUp="false" diagonalDown="false">
      <left/>
      <right/>
      <top style="medium">
        <color rgb="FF00E5A0"/>
      </top>
      <bottom/>
      <diagonal/>
    </border>
    <border diagonalUp="false" diagonalDown="false">
      <left/>
      <right/>
      <top style="medium">
        <color rgb="FF3B82F6"/>
      </top>
      <bottom/>
      <diagonal/>
    </border>
    <border diagonalUp="false" diagonalDown="false">
      <left style="thin">
        <color rgb="FF00E5A0"/>
      </left>
      <right style="thin">
        <color rgb="FF00E5A0"/>
      </right>
      <top style="thin">
        <color rgb="FF00E5A0"/>
      </top>
      <bottom style="thin">
        <color rgb="FF00E5A0"/>
      </bottom>
      <diagonal/>
    </border>
    <border diagonalUp="false" diagonalDown="false">
      <left style="thin">
        <color rgb="FF3B82F6"/>
      </left>
      <right/>
      <top style="thin">
        <color rgb="FF3B82F6"/>
      </top>
      <bottom style="thin">
        <color rgb="FF3B82F6"/>
      </bottom>
      <diagonal/>
    </border>
    <border diagonalUp="false" diagonalDown="false">
      <left style="thin">
        <color rgb="FF00E5A0"/>
      </left>
      <right/>
      <top style="thin">
        <color rgb="FF00E5A0"/>
      </top>
      <bottom style="thin">
        <color rgb="FF00E5A0"/>
      </bottom>
      <diagonal/>
    </border>
    <border diagonalUp="false" diagonalDown="false">
      <left style="thin">
        <color rgb="FFF59E0B"/>
      </left>
      <right/>
      <top style="thin">
        <color rgb="FFF59E0B"/>
      </top>
      <bottom style="thin">
        <color rgb="FFF59E0B"/>
      </bottom>
      <diagonal/>
    </border>
    <border diagonalUp="false" diagonalDown="false">
      <left style="thin">
        <color rgb="FF8B5CF6"/>
      </left>
      <right/>
      <top style="thin">
        <color rgb="FF8B5CF6"/>
      </top>
      <bottom style="thin">
        <color rgb="FF8B5CF6"/>
      </bottom>
      <diagonal/>
    </border>
    <border diagonalUp="false" diagonalDown="false">
      <left style="thin">
        <color rgb="FFEF4444"/>
      </left>
      <right/>
      <top style="thin">
        <color rgb="FFEF4444"/>
      </top>
      <bottom style="thin">
        <color rgb="FFEF4444"/>
      </bottom>
      <diagonal/>
    </border>
    <border diagonalUp="false" diagonalDown="false">
      <left style="thin">
        <color rgb="FFD1D5DB"/>
      </left>
      <right/>
      <top style="thin">
        <color rgb="FFD1D5DB"/>
      </top>
      <bottom style="thin">
        <color rgb="FFD1D5DB"/>
      </bottom>
      <diagonal/>
    </border>
    <border diagonalUp="false" diagonalDown="false">
      <left/>
      <right/>
      <top style="medium">
        <color rgb="FFF59E0B"/>
      </top>
      <bottom/>
      <diagonal/>
    </border>
    <border diagonalUp="false" diagonalDown="false">
      <left style="thin">
        <color rgb="FF1A2235"/>
      </left>
      <right style="thin">
        <color rgb="FF1A2235"/>
      </right>
      <top style="thin">
        <color rgb="FF1A2235"/>
      </top>
      <bottom style="thin">
        <color rgb="FF1A2235"/>
      </bottom>
      <diagonal/>
    </border>
    <border diagonalUp="false" diagonalDown="false">
      <left style="thin">
        <color rgb="FF1A2235"/>
      </left>
      <right/>
      <top style="thin">
        <color rgb="FF1A2235"/>
      </top>
      <bottom style="thin">
        <color rgb="FF1A2235"/>
      </bottom>
      <diagonal/>
    </border>
    <border diagonalUp="false" diagonalDown="false">
      <left/>
      <right/>
      <top style="medium">
        <color rgb="FFEF4444"/>
      </top>
      <bottom/>
      <diagonal/>
    </border>
    <border diagonalUp="false" diagonalDown="false">
      <left/>
      <right/>
      <top/>
      <bottom style="thin">
        <color rgb="FF3B82F6"/>
      </bottom>
      <diagonal/>
    </border>
    <border diagonalUp="false" diagonalDown="false">
      <left style="thin">
        <color rgb="FF1E2D42"/>
      </left>
      <right style="thin">
        <color rgb="FF1E2D42"/>
      </right>
      <top style="thin">
        <color rgb="FF1E2D42"/>
      </top>
      <bottom style="thin">
        <color rgb="FF1E2D42"/>
      </bottom>
      <diagonal/>
    </border>
    <border diagonalUp="false" diagonalDown="false">
      <left/>
      <right/>
      <top/>
      <bottom style="thin">
        <color rgb="FFF59E0B"/>
      </bottom>
      <diagonal/>
    </border>
    <border diagonalUp="false" diagonalDown="false">
      <left style="thin">
        <color rgb="FFF59E0B"/>
      </left>
      <right style="thin">
        <color rgb="FFF59E0B"/>
      </right>
      <top style="thin">
        <color rgb="FFF59E0B"/>
      </top>
      <bottom style="thin">
        <color rgb="FFF59E0B"/>
      </bottom>
      <diagonal/>
    </border>
    <border diagonalUp="false" diagonalDown="false">
      <left/>
      <right/>
      <top/>
      <bottom style="thin">
        <color rgb="FF8B5CF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4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4" fillId="5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4" fillId="5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4" fillId="5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4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5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5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2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5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5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4" borderId="1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5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4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0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1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2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24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1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2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24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3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7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4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5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39" fillId="9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6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4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6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8" borderId="1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1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2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0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8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3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4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8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4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5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8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4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5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4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1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A0E1A"/>
      <rgbColor rgb="FF808000"/>
      <rgbColor rgb="FF800080"/>
      <rgbColor rgb="FF008080"/>
      <rgbColor rgb="FFD9D9D9"/>
      <rgbColor rgb="FF878787"/>
      <rgbColor rgb="FF8B5CF6"/>
      <rgbColor rgb="FF993366"/>
      <rgbColor rgb="FFFFFFCC"/>
      <rgbColor rgb="FFCCFFFF"/>
      <rgbColor rgb="FF660066"/>
      <rgbColor rgb="FFFF8080"/>
      <rgbColor rgb="FF0066CC"/>
      <rgbColor rgb="FFD1D5DB"/>
      <rgbColor rgb="FF111827"/>
      <rgbColor rgb="FFFF00FF"/>
      <rgbColor rgb="FFFFFF00"/>
      <rgbColor rgb="FF00FFFF"/>
      <rgbColor rgb="FF800080"/>
      <rgbColor rgb="FF800000"/>
      <rgbColor rgb="FF008080"/>
      <rgbColor rgb="FF0000FF"/>
      <rgbColor rgb="FF00E5A0"/>
      <rgbColor rgb="FFCCFFFF"/>
      <rgbColor rgb="FFCCFFCC"/>
      <rgbColor rgb="FFFFFF99"/>
      <rgbColor rgb="FF99CCFF"/>
      <rgbColor rgb="FFFF99CC"/>
      <rgbColor rgb="FFCC99FF"/>
      <rgbColor rgb="FFFFCC99"/>
      <rgbColor rgb="FF3B82F6"/>
      <rgbColor rgb="FF33CCCC"/>
      <rgbColor rgb="FF99CC00"/>
      <rgbColor rgb="FFFFCC00"/>
      <rgbColor rgb="FFF59E0B"/>
      <rgbColor rgb="FFEF4444"/>
      <rgbColor rgb="FF4B5563"/>
      <rgbColor rgb="FF9CA3AF"/>
      <rgbColor rgb="FF1A2235"/>
      <rgbColor rgb="FF339966"/>
      <rgbColor rgb="FF0D2B1A"/>
      <rgbColor rgb="FF2B1A00"/>
      <rgbColor rgb="FF993300"/>
      <rgbColor rgb="FF993366"/>
      <rgbColor rgb="FF333399"/>
      <rgbColor rgb="FF1E2D4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'Monthly Tracker'!D5</c:f>
              <c:strCache>
                <c:ptCount val="1"/>
                <c:pt idx="0">
                  <c:v>CUMULATIVE ($)</c:v>
                </c:pt>
              </c:strCache>
            </c:strRef>
          </c:tx>
          <c:spPr>
            <a:solidFill>
              <a:srgbClr val="00e5a0"/>
            </a:solidFill>
            <a:ln w="24840">
              <a:solidFill>
                <a:srgbClr val="00e5a0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'Monthly Tracker'!$B$6:$B$17</c:f>
              <c:strCache>
                <c:ptCount val="12"/>
                <c:pt idx="0">
                  <c:v>Jan 2025</c:v>
                </c:pt>
                <c:pt idx="1">
                  <c:v>Feb 2025</c:v>
                </c:pt>
                <c:pt idx="2">
                  <c:v>Mar 2025</c:v>
                </c:pt>
                <c:pt idx="3">
                  <c:v>Apr 2025</c:v>
                </c:pt>
                <c:pt idx="4">
                  <c:v>May 2025</c:v>
                </c:pt>
                <c:pt idx="5">
                  <c:v>Jun 2025</c:v>
                </c:pt>
                <c:pt idx="6">
                  <c:v>Jul 2025</c:v>
                </c:pt>
                <c:pt idx="7">
                  <c:v>Aug 2025</c:v>
                </c:pt>
                <c:pt idx="8">
                  <c:v>Sep 2025</c:v>
                </c:pt>
                <c:pt idx="9">
                  <c:v>Oct 2025</c:v>
                </c:pt>
                <c:pt idx="10">
                  <c:v>Nov 2025</c:v>
                </c:pt>
                <c:pt idx="11">
                  <c:v>Dec 2025</c:v>
                </c:pt>
              </c:strCache>
            </c:strRef>
          </c:cat>
          <c:val>
            <c:numRef>
              <c:f>'Monthly Tracker'!$D$6:$D$17</c:f>
              <c:numCache>
                <c:formatCode>\$#,##0</c:formatCode>
                <c:ptCount val="12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  <c:pt idx="4">
                  <c:v>450</c:v>
                </c:pt>
                <c:pt idx="5">
                  <c:v>450</c:v>
                </c:pt>
                <c:pt idx="6">
                  <c:v>450</c:v>
                </c:pt>
                <c:pt idx="7">
                  <c:v>450</c:v>
                </c:pt>
                <c:pt idx="8">
                  <c:v>450</c:v>
                </c:pt>
                <c:pt idx="9">
                  <c:v>450</c:v>
                </c:pt>
                <c:pt idx="10">
                  <c:v>450</c:v>
                </c:pt>
                <c:pt idx="11">
                  <c:v>450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67292721"/>
        <c:axId val="60167681"/>
      </c:lineChart>
      <c:catAx>
        <c:axId val="6729272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0167681"/>
        <c:crosses val="autoZero"/>
        <c:auto val="1"/>
        <c:lblAlgn val="ctr"/>
        <c:lblOffset val="100"/>
        <c:noMultiLvlLbl val="0"/>
      </c:catAx>
      <c:valAx>
        <c:axId val="60167681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Balance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729272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barChart>
        <c:barDir val="bar"/>
        <c:grouping val="clustered"/>
        <c:varyColors val="0"/>
        <c:ser>
          <c:idx val="0"/>
          <c:order val="0"/>
          <c:tx>
            <c:strRef>
              <c:f>'Savings Finder'!E5</c:f>
              <c:strCache>
                <c:ptCount val="1"/>
                <c:pt idx="0">
                  <c:v>MONTHLY SAVE</c:v>
                </c:pt>
              </c:strCache>
            </c:strRef>
          </c:tx>
          <c:spPr>
            <a:solidFill>
              <a:srgbClr val="00e5a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'Savings Finder'!$B$6:$B$17</c:f>
              <c:strCache>
                <c:ptCount val="12"/>
                <c:pt idx="0">
                  <c:v>  Streaming (Netflix/Hulu/Max)</c:v>
                </c:pt>
                <c:pt idx="1">
                  <c:v>  Music (Spotify/Apple)</c:v>
                </c:pt>
                <c:pt idx="2">
                  <c:v>  DoorDash / Uber Eats</c:v>
                </c:pt>
                <c:pt idx="3">
                  <c:v>  Coffee runs (Starbucks etc.)</c:v>
                </c:pt>
                <c:pt idx="4">
                  <c:v>  Gym (are you even going?)</c:v>
                </c:pt>
                <c:pt idx="5">
                  <c:v>  Amazon impulse buys</c:v>
                </c:pt>
                <c:pt idx="6">
                  <c:v>  Bars / going out</c:v>
                </c:pt>
                <c:pt idx="7">
                  <c:v>  Fashion / SHEIN / apps</c:v>
                </c:pt>
                <c:pt idx="8">
                  <c:v>  Uber/Lyft rides</c:v>
                </c:pt>
                <c:pt idx="9">
                  <c:v>  Convenience store / snacks</c:v>
                </c:pt>
                <c:pt idx="10">
                  <c:v>  Other subscriptions</c:v>
                </c:pt>
                <c:pt idx="11">
                  <c:v>  Random stuff you forget</c:v>
                </c:pt>
              </c:strCache>
            </c:strRef>
          </c:cat>
          <c:val>
            <c:numRef>
              <c:f>'Savings Finder'!$E$6:$E$17</c:f>
              <c:numCache>
                <c:formatCode>\$#,##0</c:formatCode>
                <c:ptCount val="12"/>
                <c:pt idx="0">
                  <c:v>30</c:v>
                </c:pt>
                <c:pt idx="1">
                  <c:v>11</c:v>
                </c:pt>
                <c:pt idx="2">
                  <c:v>100</c:v>
                </c:pt>
                <c:pt idx="3">
                  <c:v>45</c:v>
                </c:pt>
                <c:pt idx="4">
                  <c:v>45</c:v>
                </c:pt>
                <c:pt idx="5">
                  <c:v>60</c:v>
                </c:pt>
                <c:pt idx="6">
                  <c:v>100</c:v>
                </c:pt>
                <c:pt idx="7">
                  <c:v>70</c:v>
                </c:pt>
                <c:pt idx="8">
                  <c:v>50</c:v>
                </c:pt>
                <c:pt idx="9">
                  <c:v>35</c:v>
                </c:pt>
                <c:pt idx="10">
                  <c:v>30</c:v>
                </c:pt>
                <c:pt idx="11">
                  <c:v>30</c:v>
                </c:pt>
              </c:numCache>
            </c:numRef>
          </c:val>
        </c:ser>
        <c:gapWidth val="150"/>
        <c:overlap val="0"/>
        <c:axId val="90499892"/>
        <c:axId val="68355135"/>
      </c:barChart>
      <c:catAx>
        <c:axId val="904998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8355135"/>
        <c:crosses val="autoZero"/>
        <c:auto val="1"/>
        <c:lblAlgn val="ctr"/>
        <c:lblOffset val="100"/>
        <c:noMultiLvlLbl val="0"/>
      </c:catAx>
      <c:valAx>
        <c:axId val="6835513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0499892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"No Interest"</c:f>
              <c:strCache>
                <c:ptCount val="1"/>
                <c:pt idx="0">
                  <c:v>No Interest</c:v>
                </c:pt>
              </c:strCache>
            </c:strRef>
          </c:tx>
          <c:spPr>
            <a:solidFill>
              <a:srgbClr val="4b5563"/>
            </a:solidFill>
            <a:ln w="15120">
              <a:solidFill>
                <a:srgbClr val="4b5563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'Growth Projections'!$B$6:$B$17</c:f>
              <c:strCache>
                <c:ptCount val="12"/>
                <c:pt idx="0">
                  <c:v>Month 1</c:v>
                </c:pt>
                <c:pt idx="1">
                  <c:v>Month 2</c:v>
                </c:pt>
                <c:pt idx="2">
                  <c:v>Month 3</c:v>
                </c:pt>
                <c:pt idx="3">
                  <c:v>Month 4</c:v>
                </c:pt>
                <c:pt idx="4">
                  <c:v>Month 5</c:v>
                </c:pt>
                <c:pt idx="5">
                  <c:v>Month 6</c:v>
                </c:pt>
                <c:pt idx="6">
                  <c:v>Month 9</c:v>
                </c:pt>
                <c:pt idx="7">
                  <c:v>Month 12</c:v>
                </c:pt>
                <c:pt idx="8">
                  <c:v>Month 15</c:v>
                </c:pt>
                <c:pt idx="9">
                  <c:v>Month 18</c:v>
                </c:pt>
                <c:pt idx="10">
                  <c:v>Month 21</c:v>
                </c:pt>
                <c:pt idx="11">
                  <c:v>Month 24</c:v>
                </c:pt>
              </c:strCache>
            </c:strRef>
          </c:cat>
          <c:val>
            <c:numRef>
              <c:f>'Growth Projections'!$C$6:$C$17</c:f>
              <c:numCache>
                <c:formatCode>\$#,##0</c:formatCode>
                <c:ptCount val="12"/>
                <c:pt idx="0">
                  <c:v>600</c:v>
                </c:pt>
                <c:pt idx="1">
                  <c:v>750</c:v>
                </c:pt>
                <c:pt idx="2">
                  <c:v>900</c:v>
                </c:pt>
                <c:pt idx="3">
                  <c:v>1050</c:v>
                </c:pt>
                <c:pt idx="4">
                  <c:v>1200</c:v>
                </c:pt>
                <c:pt idx="5">
                  <c:v>1350</c:v>
                </c:pt>
                <c:pt idx="6">
                  <c:v>1800</c:v>
                </c:pt>
                <c:pt idx="7">
                  <c:v>2250</c:v>
                </c:pt>
                <c:pt idx="8">
                  <c:v>2700</c:v>
                </c:pt>
                <c:pt idx="9">
                  <c:v>3150</c:v>
                </c:pt>
                <c:pt idx="10">
                  <c:v>3600</c:v>
                </c:pt>
                <c:pt idx="11">
                  <c:v>4050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"With HYSA 4.5%"</c:f>
              <c:strCache>
                <c:ptCount val="1"/>
                <c:pt idx="0">
                  <c:v>With HYSA 4.5%</c:v>
                </c:pt>
              </c:strCache>
            </c:strRef>
          </c:tx>
          <c:spPr>
            <a:solidFill>
              <a:srgbClr val="8b5cf6"/>
            </a:solidFill>
            <a:ln w="24840">
              <a:solidFill>
                <a:srgbClr val="8b5cf6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'Growth Projections'!$B$6:$B$17</c:f>
              <c:strCache>
                <c:ptCount val="12"/>
                <c:pt idx="0">
                  <c:v>Month 1</c:v>
                </c:pt>
                <c:pt idx="1">
                  <c:v>Month 2</c:v>
                </c:pt>
                <c:pt idx="2">
                  <c:v>Month 3</c:v>
                </c:pt>
                <c:pt idx="3">
                  <c:v>Month 4</c:v>
                </c:pt>
                <c:pt idx="4">
                  <c:v>Month 5</c:v>
                </c:pt>
                <c:pt idx="5">
                  <c:v>Month 6</c:v>
                </c:pt>
                <c:pt idx="6">
                  <c:v>Month 9</c:v>
                </c:pt>
                <c:pt idx="7">
                  <c:v>Month 12</c:v>
                </c:pt>
                <c:pt idx="8">
                  <c:v>Month 15</c:v>
                </c:pt>
                <c:pt idx="9">
                  <c:v>Month 18</c:v>
                </c:pt>
                <c:pt idx="10">
                  <c:v>Month 21</c:v>
                </c:pt>
                <c:pt idx="11">
                  <c:v>Month 24</c:v>
                </c:pt>
              </c:strCache>
            </c:strRef>
          </c:cat>
          <c:val>
            <c:numRef>
              <c:f>'Growth Projections'!$D$6:$D$17</c:f>
              <c:numCache>
                <c:formatCode>\$#,##0</c:formatCode>
                <c:ptCount val="12"/>
                <c:pt idx="0">
                  <c:v>601.687499999997</c:v>
                </c:pt>
                <c:pt idx="1">
                  <c:v>753.943828124995</c:v>
                </c:pt>
                <c:pt idx="2">
                  <c:v>906.771117480457</c:v>
                </c:pt>
                <c:pt idx="3">
                  <c:v>1060.17150917101</c:v>
                </c:pt>
                <c:pt idx="4">
                  <c:v>1214.1471523304</c:v>
                </c:pt>
                <c:pt idx="5">
                  <c:v>1368.70020415163</c:v>
                </c:pt>
                <c:pt idx="6">
                  <c:v>1835.84550504074</c:v>
                </c:pt>
                <c:pt idx="7">
                  <c:v>2308.26592289185</c:v>
                </c:pt>
                <c:pt idx="8">
                  <c:v>2786.02102559296</c:v>
                </c:pt>
                <c:pt idx="9">
                  <c:v>3269.17105368696</c:v>
                </c:pt>
                <c:pt idx="10">
                  <c:v>3757.77692796744</c:v>
                </c:pt>
                <c:pt idx="11">
                  <c:v>4251.90025716023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70203532"/>
        <c:axId val="62522337"/>
      </c:lineChart>
      <c:catAx>
        <c:axId val="7020353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Month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2522337"/>
        <c:crosses val="autoZero"/>
        <c:auto val="1"/>
        <c:lblAlgn val="ctr"/>
        <c:lblOffset val="100"/>
        <c:noMultiLvlLbl val="0"/>
      </c:catAx>
      <c:valAx>
        <c:axId val="62522337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Balance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0203532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19</xdr:row>
      <xdr:rowOff>0</xdr:rowOff>
    </xdr:from>
    <xdr:to>
      <xdr:col>9</xdr:col>
      <xdr:colOff>151200</xdr:colOff>
      <xdr:row>37</xdr:row>
      <xdr:rowOff>170640</xdr:rowOff>
    </xdr:to>
    <xdr:graphicFrame>
      <xdr:nvGraphicFramePr>
        <xdr:cNvPr id="0" name="Chart 1"/>
        <xdr:cNvGraphicFramePr/>
      </xdr:nvGraphicFramePr>
      <xdr:xfrm>
        <a:off x="106200" y="5581800"/>
        <a:ext cx="7199640" cy="35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20</xdr:row>
      <xdr:rowOff>0</xdr:rowOff>
    </xdr:from>
    <xdr:to>
      <xdr:col>9</xdr:col>
      <xdr:colOff>181800</xdr:colOff>
      <xdr:row>42</xdr:row>
      <xdr:rowOff>128520</xdr:rowOff>
    </xdr:to>
    <xdr:graphicFrame>
      <xdr:nvGraphicFramePr>
        <xdr:cNvPr id="1" name="Chart 1"/>
        <xdr:cNvGraphicFramePr/>
      </xdr:nvGraphicFramePr>
      <xdr:xfrm>
        <a:off x="106200" y="5734080"/>
        <a:ext cx="6479640" cy="43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19</xdr:row>
      <xdr:rowOff>0</xdr:rowOff>
    </xdr:from>
    <xdr:to>
      <xdr:col>11</xdr:col>
      <xdr:colOff>164520</xdr:colOff>
      <xdr:row>41</xdr:row>
      <xdr:rowOff>128880</xdr:rowOff>
    </xdr:to>
    <xdr:graphicFrame>
      <xdr:nvGraphicFramePr>
        <xdr:cNvPr id="2" name="Chart 1"/>
        <xdr:cNvGraphicFramePr/>
      </xdr:nvGraphicFramePr>
      <xdr:xfrm>
        <a:off x="106200" y="5419800"/>
        <a:ext cx="7919640" cy="43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E5A0"/>
    <pageSetUpPr fitToPage="false"/>
  </sheetPr>
  <dimension ref="A1:M38"/>
  <sheetViews>
    <sheetView showFormulas="false" showGridLines="fals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9"/>
    <col collapsed="false" customWidth="true" hidden="false" outlineLevel="0" max="9" min="3" style="0" width="13"/>
    <col collapsed="false" customWidth="true" hidden="false" outlineLevel="0" max="10" min="10" style="0" width="2"/>
    <col collapsed="false" customWidth="true" hidden="false" outlineLevel="0" max="12" min="11" style="0" width="13"/>
    <col collapsed="false" customWidth="true" hidden="false" outlineLevel="0" max="13" min="13" style="0" width="2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48" hidden="false" customHeight="true" outlineLevel="0" collapsed="false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27.75" hidden="false" customHeight="true" outlineLevel="0" collapsed="false">
      <c r="A3" s="1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customFormat="false" ht="9.75" hidden="false" customHeight="true" outlineLevel="0" collapsed="false">
      <c r="A4" s="1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customFormat="false" ht="21.75" hidden="false" customHeight="true" outlineLevel="0" collapsed="false">
      <c r="A5" s="1"/>
      <c r="B5" s="5" t="s">
        <v>2</v>
      </c>
      <c r="C5" s="5"/>
      <c r="D5" s="5"/>
      <c r="E5" s="1"/>
      <c r="F5" s="1"/>
      <c r="G5" s="6" t="s">
        <v>3</v>
      </c>
      <c r="H5" s="6"/>
      <c r="I5" s="6"/>
      <c r="J5" s="6"/>
      <c r="K5" s="6"/>
      <c r="L5" s="6"/>
      <c r="M5" s="6"/>
    </row>
    <row r="6" customFormat="false" ht="7.5" hidden="false" customHeight="true" outlineLevel="0" collapsed="false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customFormat="false" ht="21.75" hidden="false" customHeight="true" outlineLevel="0" collapsed="false">
      <c r="A7" s="1"/>
      <c r="B7" s="7" t="s">
        <v>4</v>
      </c>
      <c r="C7" s="7"/>
      <c r="D7" s="7"/>
      <c r="E7" s="8" t="n">
        <v>2800</v>
      </c>
      <c r="F7" s="1"/>
      <c r="G7" s="9" t="s">
        <v>5</v>
      </c>
      <c r="H7" s="9"/>
      <c r="I7" s="10" t="s">
        <v>6</v>
      </c>
      <c r="J7" s="10"/>
      <c r="K7" s="11" t="s">
        <v>7</v>
      </c>
      <c r="L7" s="11"/>
      <c r="M7" s="1"/>
    </row>
    <row r="8" customFormat="false" ht="27.75" hidden="false" customHeight="true" outlineLevel="0" collapsed="false">
      <c r="A8" s="1"/>
      <c r="B8" s="12" t="s">
        <v>8</v>
      </c>
      <c r="C8" s="12"/>
      <c r="D8" s="12"/>
      <c r="E8" s="1"/>
      <c r="F8" s="1"/>
      <c r="G8" s="13" t="n">
        <f aca="false">E9*E7</f>
        <v>8400</v>
      </c>
      <c r="H8" s="13"/>
      <c r="I8" s="14" t="n">
        <f aca="false">E11</f>
        <v>450</v>
      </c>
      <c r="J8" s="14"/>
      <c r="K8" s="15" t="n">
        <f aca="false">MAX(E9*E7-E11,0)</f>
        <v>7950</v>
      </c>
      <c r="L8" s="15"/>
      <c r="M8" s="1"/>
    </row>
    <row r="9" customFormat="false" ht="13.5" hidden="false" customHeight="true" outlineLevel="0" collapsed="false">
      <c r="A9" s="1"/>
      <c r="B9" s="7" t="s">
        <v>9</v>
      </c>
      <c r="C9" s="7"/>
      <c r="D9" s="7"/>
      <c r="E9" s="16" t="n">
        <v>3</v>
      </c>
      <c r="F9" s="1"/>
      <c r="G9" s="17" t="s">
        <v>10</v>
      </c>
      <c r="H9" s="17"/>
      <c r="I9" s="17" t="s">
        <v>11</v>
      </c>
      <c r="J9" s="17"/>
      <c r="K9" s="17" t="s">
        <v>12</v>
      </c>
      <c r="L9" s="17"/>
      <c r="M9" s="1"/>
    </row>
    <row r="10" customFormat="false" ht="21.75" hidden="false" customHeight="true" outlineLevel="0" collapsed="false">
      <c r="A10" s="1"/>
      <c r="B10" s="12" t="s">
        <v>13</v>
      </c>
      <c r="C10" s="12"/>
      <c r="D10" s="12"/>
      <c r="E10" s="1"/>
      <c r="F10" s="1"/>
      <c r="G10" s="18" t="s">
        <v>14</v>
      </c>
      <c r="H10" s="18"/>
      <c r="I10" s="19" t="s">
        <v>15</v>
      </c>
      <c r="J10" s="19"/>
      <c r="K10" s="20" t="s">
        <v>16</v>
      </c>
      <c r="L10" s="20"/>
      <c r="M10" s="1"/>
    </row>
    <row r="11" customFormat="false" ht="27.75" hidden="false" customHeight="true" outlineLevel="0" collapsed="false">
      <c r="A11" s="1"/>
      <c r="B11" s="7" t="s">
        <v>17</v>
      </c>
      <c r="C11" s="7"/>
      <c r="D11" s="7"/>
      <c r="E11" s="8" t="n">
        <v>450</v>
      </c>
      <c r="F11" s="1"/>
      <c r="G11" s="21" t="n">
        <f aca="false">IF(E9*E7&gt;0,MIN(E11/(E9*E7),1),0)</f>
        <v>0.0535714285714286</v>
      </c>
      <c r="H11" s="21"/>
      <c r="I11" s="22" t="n">
        <f aca="false">IF(E13&gt;0,ROUNDUP(MAX(E9*E7-E11,0)/E13,0),0)</f>
        <v>53</v>
      </c>
      <c r="J11" s="22"/>
      <c r="K11" s="23" t="n">
        <f aca="false">IF(E9*E7&gt;E11,MAX(E9*E7-E11,0)/(MAX(E13&gt;0,1)*30),0)</f>
        <v>265</v>
      </c>
      <c r="L11" s="23"/>
      <c r="M11" s="1"/>
    </row>
    <row r="12" customFormat="false" ht="13.5" hidden="false" customHeight="true" outlineLevel="0" collapsed="false">
      <c r="A12" s="1"/>
      <c r="B12" s="12" t="s">
        <v>18</v>
      </c>
      <c r="C12" s="12"/>
      <c r="D12" s="12"/>
      <c r="E12" s="1"/>
      <c r="F12" s="1"/>
      <c r="G12" s="17" t="s">
        <v>19</v>
      </c>
      <c r="H12" s="17"/>
      <c r="I12" s="17" t="s">
        <v>20</v>
      </c>
      <c r="J12" s="17"/>
      <c r="K12" s="17" t="s">
        <v>21</v>
      </c>
      <c r="L12" s="17"/>
      <c r="M12" s="1"/>
    </row>
    <row r="13" customFormat="false" ht="25.5" hidden="false" customHeight="true" outlineLevel="0" collapsed="false">
      <c r="A13" s="1"/>
      <c r="B13" s="7" t="s">
        <v>22</v>
      </c>
      <c r="C13" s="7"/>
      <c r="D13" s="7"/>
      <c r="E13" s="8" t="n">
        <v>150</v>
      </c>
      <c r="F13" s="1"/>
      <c r="G13" s="1"/>
      <c r="H13" s="1"/>
      <c r="I13" s="1"/>
      <c r="J13" s="1"/>
      <c r="K13" s="1"/>
      <c r="L13" s="1"/>
      <c r="M13" s="1"/>
    </row>
    <row r="14" customFormat="false" ht="7.5" hidden="false" customHeight="true" outlineLevel="0" collapsed="false">
      <c r="A14" s="1"/>
      <c r="B14" s="17" t="s">
        <v>23</v>
      </c>
      <c r="C14" s="17"/>
      <c r="D14" s="17"/>
      <c r="E14" s="17"/>
      <c r="F14" s="1"/>
      <c r="G14" s="1"/>
      <c r="H14" s="1"/>
      <c r="I14" s="1"/>
      <c r="J14" s="1"/>
      <c r="K14" s="1"/>
      <c r="L14" s="1"/>
      <c r="M14" s="1"/>
    </row>
    <row r="15" customFormat="false" ht="7.5" hidden="false" customHeight="tru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customFormat="false" ht="21.75" hidden="false" customHeight="true" outlineLevel="0" collapsed="false">
      <c r="A16" s="1"/>
      <c r="B16" s="5" t="s">
        <v>24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customFormat="false" ht="36" hidden="false" customHeight="true" outlineLevel="0" collapsed="false">
      <c r="A17" s="1"/>
      <c r="B17" s="24" t="str">
        <f aca="false">IF(E7*E9=0,"→ Fill in your setup above to get started",IF(E11=0,"🌱 Start with just $25 — every dollar counts!  [░░░░░░░░░░] 0%",IF(MIN(E11/(E7*E9),1)&gt;=1,"🎉 YOU DID IT — FULLY FUNDED! Your future self thanks you.  [██████████] 100%","Progress to safety  ["&amp;REPT("█",ROUND(MIN(E11/(E7*E9),1)*10,0))&amp;REPT("░",10-ROUND(MIN(E11/(E7*E9),1)*10,0))&amp;"]  "&amp;TEXT(MIN(E11/(E7*E9),1),"0%")&amp;"   ·   $"&amp;TEXT(E11,"#,##0")&amp;" of $"&amp;TEXT(E7*E9,"#,##0")&amp;"   ·   $"&amp;TEXT(MAX(E7*E9-E11,0),"#,##0")&amp;" to go")))</f>
        <v>Progress to safety  [█░░░░░░░░░]  5%   ·   $450 of $8,400   ·   $7,950 to go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customFormat="false" ht="19.5" hidden="false" customHeight="true" outlineLevel="0" collapsed="false">
      <c r="A18" s="1"/>
      <c r="B18" s="25" t="str">
        <f aca="true">IF(E13&gt;0,"At $"&amp;TEXT(E13,"#,##0")&amp;"/mo → goal reached "&amp;TEXT(TODAY()+MAX(E9*E7-E11,0)/E13*30,"Mmm YYYY")&amp;"   ·   That's "&amp;TEXT(ROUNDUP(MAX(E9*E7-E11,0)/E13,0),"0")&amp;" months away","↑ Set your monthly contribution above")</f>
        <v>At $150/mo → goal reached Sep 2030   ·   That's 53 months away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customFormat="false" ht="7.5" hidden="false" customHeight="tru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customFormat="false" ht="7.5" hidden="false" customHeight="tru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customFormat="false" ht="21.75" hidden="false" customHeight="true" outlineLevel="0" collapsed="false">
      <c r="A21" s="1"/>
      <c r="B21" s="26" t="s">
        <v>25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customFormat="false" ht="18" hidden="false" customHeight="true" outlineLevel="0" collapsed="false">
      <c r="A22" s="1"/>
      <c r="B22" s="27" t="s">
        <v>26</v>
      </c>
      <c r="C22" s="27" t="s">
        <v>27</v>
      </c>
      <c r="D22" s="1"/>
      <c r="E22" s="1"/>
      <c r="F22" s="1"/>
      <c r="G22" s="27" t="s">
        <v>28</v>
      </c>
      <c r="H22" s="1"/>
      <c r="I22" s="1"/>
      <c r="J22" s="27" t="s">
        <v>29</v>
      </c>
      <c r="K22" s="1"/>
      <c r="L22" s="27" t="s">
        <v>30</v>
      </c>
      <c r="M22" s="1"/>
    </row>
    <row r="23" customFormat="false" ht="24" hidden="false" customHeight="true" outlineLevel="0" collapsed="false">
      <c r="A23" s="1"/>
      <c r="B23" s="28" t="s">
        <v>31</v>
      </c>
      <c r="C23" s="29" t="s">
        <v>32</v>
      </c>
      <c r="D23" s="29"/>
      <c r="E23" s="29"/>
      <c r="F23" s="29"/>
      <c r="G23" s="30" t="n">
        <v>200</v>
      </c>
      <c r="H23" s="30"/>
      <c r="I23" s="30"/>
      <c r="J23" s="31" t="str">
        <f aca="false">IF(E11&gt;=200,"DONE ✓","$"&amp;TEXT(MAX(200-E11,0),"#,##0")&amp;" to go")</f>
        <v>DONE ✓</v>
      </c>
      <c r="K23" s="31"/>
      <c r="L23" s="32" t="str">
        <f aca="false">IF(E11&gt;=200,"✅ UNLOCKED","🔒 LOCKED")</f>
        <v>✅ UNLOCKED</v>
      </c>
      <c r="M23" s="32"/>
    </row>
    <row r="24" customFormat="false" ht="24" hidden="false" customHeight="true" outlineLevel="0" collapsed="false">
      <c r="A24" s="1"/>
      <c r="B24" s="28" t="s">
        <v>33</v>
      </c>
      <c r="C24" s="29" t="s">
        <v>34</v>
      </c>
      <c r="D24" s="29"/>
      <c r="E24" s="29"/>
      <c r="F24" s="29"/>
      <c r="G24" s="30" t="n">
        <v>500</v>
      </c>
      <c r="H24" s="30"/>
      <c r="I24" s="30"/>
      <c r="J24" s="31" t="str">
        <f aca="false">IF(E11&gt;=500,"DONE ✓","$"&amp;TEXT(MAX(500-E11,0),"#,##0")&amp;" to go")</f>
        <v>$50 to go</v>
      </c>
      <c r="K24" s="31"/>
      <c r="L24" s="32" t="str">
        <f aca="false">IF(E11&gt;=500,"✅ UNLOCKED","🔒 LOCKED")</f>
        <v>🔒 LOCKED</v>
      </c>
      <c r="M24" s="32"/>
    </row>
    <row r="25" customFormat="false" ht="24" hidden="false" customHeight="true" outlineLevel="0" collapsed="false">
      <c r="A25" s="1"/>
      <c r="B25" s="28" t="s">
        <v>35</v>
      </c>
      <c r="C25" s="29" t="s">
        <v>36</v>
      </c>
      <c r="D25" s="29"/>
      <c r="E25" s="29"/>
      <c r="F25" s="29"/>
      <c r="G25" s="30" t="n">
        <v>1200</v>
      </c>
      <c r="H25" s="30"/>
      <c r="I25" s="30"/>
      <c r="J25" s="31" t="str">
        <f aca="false">IF(E11&gt;=1200,"DONE ✓","$"&amp;TEXT(MAX(1200-E11,0),"#,##0")&amp;" to go")</f>
        <v>$750 to go</v>
      </c>
      <c r="K25" s="31"/>
      <c r="L25" s="32" t="str">
        <f aca="false">IF(E11&gt;=1200,"✅ UNLOCKED","🔒 LOCKED")</f>
        <v>🔒 LOCKED</v>
      </c>
      <c r="M25" s="32"/>
    </row>
    <row r="26" customFormat="false" ht="24" hidden="false" customHeight="true" outlineLevel="0" collapsed="false">
      <c r="A26" s="1"/>
      <c r="B26" s="33" t="s">
        <v>37</v>
      </c>
      <c r="C26" s="29" t="s">
        <v>38</v>
      </c>
      <c r="D26" s="29"/>
      <c r="E26" s="29"/>
      <c r="F26" s="29"/>
      <c r="G26" s="30" t="n">
        <v>2500</v>
      </c>
      <c r="H26" s="30"/>
      <c r="I26" s="30"/>
      <c r="J26" s="31" t="str">
        <f aca="false">IF(E11&gt;=2500,"DONE ✓","$"&amp;TEXT(MAX(2500-E11,0),"#,##0")&amp;" to go")</f>
        <v>$2,050 to go</v>
      </c>
      <c r="K26" s="31"/>
      <c r="L26" s="32" t="str">
        <f aca="false">IF(E11&gt;=2500,"✅ UNLOCKED","🔒 LOCKED")</f>
        <v>🔒 LOCKED</v>
      </c>
      <c r="M26" s="32"/>
    </row>
    <row r="27" customFormat="false" ht="24" hidden="false" customHeight="true" outlineLevel="0" collapsed="false">
      <c r="A27" s="1"/>
      <c r="B27" s="33" t="s">
        <v>39</v>
      </c>
      <c r="C27" s="29" t="s">
        <v>40</v>
      </c>
      <c r="D27" s="29"/>
      <c r="E27" s="29"/>
      <c r="F27" s="29"/>
      <c r="G27" s="30" t="n">
        <v>3500</v>
      </c>
      <c r="H27" s="30"/>
      <c r="I27" s="30"/>
      <c r="J27" s="31" t="str">
        <f aca="false">IF(E11&gt;=3500,"DONE ✓","$"&amp;TEXT(MAX(3500-E11,0),"#,##0")&amp;" to go")</f>
        <v>$3,050 to go</v>
      </c>
      <c r="K27" s="31"/>
      <c r="L27" s="32" t="str">
        <f aca="false">IF(E11&gt;=3500,"✅ UNLOCKED","🔒 LOCKED")</f>
        <v>🔒 LOCKED</v>
      </c>
      <c r="M27" s="32"/>
    </row>
    <row r="28" customFormat="false" ht="24" hidden="false" customHeight="true" outlineLevel="0" collapsed="false">
      <c r="A28" s="1"/>
      <c r="B28" s="34" t="s">
        <v>41</v>
      </c>
      <c r="C28" s="29" t="s">
        <v>42</v>
      </c>
      <c r="D28" s="29"/>
      <c r="E28" s="29"/>
      <c r="F28" s="29"/>
      <c r="G28" s="30" t="n">
        <f aca="false">E7*3</f>
        <v>8400</v>
      </c>
      <c r="H28" s="30"/>
      <c r="I28" s="30"/>
      <c r="J28" s="31" t="str">
        <f aca="false">IF(E11&gt;=E7*3,"DONE ✓","$"&amp;TEXT(MAX(E7*3-E11,0),"#,##0")&amp;" to go")</f>
        <v>$7,950 to go</v>
      </c>
      <c r="K28" s="31"/>
      <c r="L28" s="32" t="str">
        <f aca="false">IF(E11&gt;=E7*3,"✅ UNLOCKED","🔒 LOCKED")</f>
        <v>🔒 LOCKED</v>
      </c>
      <c r="M28" s="32"/>
    </row>
    <row r="29" customFormat="false" ht="24" hidden="false" customHeight="true" outlineLevel="0" collapsed="false">
      <c r="A29" s="1"/>
      <c r="B29" s="34" t="s">
        <v>43</v>
      </c>
      <c r="C29" s="29" t="s">
        <v>44</v>
      </c>
      <c r="D29" s="29"/>
      <c r="E29" s="29"/>
      <c r="F29" s="29"/>
      <c r="G29" s="30" t="n">
        <f aca="false">E7*6</f>
        <v>16800</v>
      </c>
      <c r="H29" s="30"/>
      <c r="I29" s="30"/>
      <c r="J29" s="31" t="str">
        <f aca="false">IF(E11&gt;=E7*6,"DONE ✓","$"&amp;TEXT(MAX(E7*6-E11,0),"#,##0")&amp;" to go")</f>
        <v>$16,350 to go</v>
      </c>
      <c r="K29" s="31"/>
      <c r="L29" s="32" t="str">
        <f aca="false">IF(E11&gt;=E7*6,"✅ UNLOCKED","🔒 LOCKED")</f>
        <v>🔒 LOCKED</v>
      </c>
      <c r="M29" s="32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customFormat="false" ht="7.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customFormat="false" ht="21.75" hidden="false" customHeight="true" outlineLevel="0" collapsed="false">
      <c r="A32" s="1"/>
      <c r="B32" s="35" t="s">
        <v>45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</row>
    <row r="33" customFormat="false" ht="27.75" hidden="false" customHeight="true" outlineLevel="0" collapsed="false">
      <c r="A33" s="1"/>
      <c r="B33" s="36" t="str">
        <f aca="false">IF(E7&gt;0,INT(E11/(E7/30))&amp;" days","—")</f>
        <v>4 days</v>
      </c>
      <c r="C33" s="36"/>
      <c r="D33" s="36" t="str">
        <f aca="false">IF(E11&gt;=1200,"Yes ✓","Need $"&amp;TEXT(MAX(1200-E11,0),"#,##0")&amp;" more")</f>
        <v>Need $750 more</v>
      </c>
      <c r="E33" s="36"/>
      <c r="F33" s="36" t="str">
        <f aca="false">IF(E11&gt;=800,"Yes ✓","Need $"&amp;TEXT(MAX(800-E11,0),"#,##0")&amp;" more")</f>
        <v>Need $350 more</v>
      </c>
      <c r="G33" s="36"/>
      <c r="H33" s="36" t="str">
        <f aca="false">IF(E11&gt;=E7,"Yes ✓","Need $"&amp;TEXT(MAX(E7-E11,0),"#,##0")&amp;" more")</f>
        <v>Need $2,350 more</v>
      </c>
      <c r="I33" s="36"/>
      <c r="J33" s="36" t="str">
        <f aca="false">IF(E11&gt;=E7,"✅ Protected","⚠️ Exposed")</f>
        <v>⚠️ Exposed</v>
      </c>
      <c r="K33" s="36"/>
      <c r="L33" s="1"/>
      <c r="M33" s="1"/>
    </row>
    <row r="34" customFormat="false" ht="15.75" hidden="false" customHeight="true" outlineLevel="0" collapsed="false">
      <c r="A34" s="1"/>
      <c r="B34" s="37" t="s">
        <v>46</v>
      </c>
      <c r="C34" s="37"/>
      <c r="D34" s="37" t="s">
        <v>47</v>
      </c>
      <c r="E34" s="37"/>
      <c r="F34" s="37" t="s">
        <v>48</v>
      </c>
      <c r="G34" s="37"/>
      <c r="H34" s="37" t="s">
        <v>49</v>
      </c>
      <c r="I34" s="37"/>
      <c r="J34" s="37" t="s">
        <v>50</v>
      </c>
      <c r="K34" s="37"/>
      <c r="L34" s="1"/>
      <c r="M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customFormat="false" ht="6" hidden="false" customHeight="true" outlineLevel="0" collapsed="false">
      <c r="A36" s="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customFormat="false" ht="25.5" hidden="false" customHeight="true" outlineLevel="0" collapsed="false">
      <c r="A37" s="1"/>
      <c r="B37" s="38" t="s">
        <v>51</v>
      </c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</row>
    <row r="38" customFormat="false" ht="6" hidden="false" customHeight="true" outlineLevel="0" collapsed="false">
      <c r="A38" s="1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</row>
  </sheetData>
  <mergeCells count="77">
    <mergeCell ref="B2:M2"/>
    <mergeCell ref="B3:M3"/>
    <mergeCell ref="B4:M4"/>
    <mergeCell ref="B5:D5"/>
    <mergeCell ref="G5:M5"/>
    <mergeCell ref="B7:D7"/>
    <mergeCell ref="G7:H7"/>
    <mergeCell ref="I7:J7"/>
    <mergeCell ref="K7:L7"/>
    <mergeCell ref="B8:D8"/>
    <mergeCell ref="G8:H8"/>
    <mergeCell ref="I8:J8"/>
    <mergeCell ref="K8:L8"/>
    <mergeCell ref="B9:D9"/>
    <mergeCell ref="G9:H9"/>
    <mergeCell ref="I9:J9"/>
    <mergeCell ref="K9:L9"/>
    <mergeCell ref="B10:D10"/>
    <mergeCell ref="G10:H10"/>
    <mergeCell ref="I10:J10"/>
    <mergeCell ref="K10:L10"/>
    <mergeCell ref="B11:D11"/>
    <mergeCell ref="G11:H11"/>
    <mergeCell ref="I11:J11"/>
    <mergeCell ref="K11:L11"/>
    <mergeCell ref="B12:D12"/>
    <mergeCell ref="G12:H12"/>
    <mergeCell ref="I12:J12"/>
    <mergeCell ref="K12:L12"/>
    <mergeCell ref="B13:D13"/>
    <mergeCell ref="B14:D14"/>
    <mergeCell ref="B16:M16"/>
    <mergeCell ref="B17:M17"/>
    <mergeCell ref="B18:M18"/>
    <mergeCell ref="B21:M21"/>
    <mergeCell ref="C23:F23"/>
    <mergeCell ref="G23:I23"/>
    <mergeCell ref="J23:K23"/>
    <mergeCell ref="L23:M23"/>
    <mergeCell ref="C24:F24"/>
    <mergeCell ref="G24:I24"/>
    <mergeCell ref="J24:K24"/>
    <mergeCell ref="L24:M24"/>
    <mergeCell ref="C25:F25"/>
    <mergeCell ref="G25:I25"/>
    <mergeCell ref="J25:K25"/>
    <mergeCell ref="L25:M25"/>
    <mergeCell ref="C26:F26"/>
    <mergeCell ref="G26:I26"/>
    <mergeCell ref="J26:K26"/>
    <mergeCell ref="L26:M26"/>
    <mergeCell ref="C27:F27"/>
    <mergeCell ref="G27:I27"/>
    <mergeCell ref="J27:K27"/>
    <mergeCell ref="L27:M27"/>
    <mergeCell ref="C28:F28"/>
    <mergeCell ref="G28:I28"/>
    <mergeCell ref="J28:K28"/>
    <mergeCell ref="L28:M28"/>
    <mergeCell ref="C29:F29"/>
    <mergeCell ref="G29:I29"/>
    <mergeCell ref="J29:K29"/>
    <mergeCell ref="L29:M29"/>
    <mergeCell ref="B32:M32"/>
    <mergeCell ref="B33:C33"/>
    <mergeCell ref="D33:E33"/>
    <mergeCell ref="F33:G33"/>
    <mergeCell ref="H33:I33"/>
    <mergeCell ref="J33:K33"/>
    <mergeCell ref="B34:C34"/>
    <mergeCell ref="D34:E34"/>
    <mergeCell ref="F34:G34"/>
    <mergeCell ref="H34:I34"/>
    <mergeCell ref="J34:K34"/>
    <mergeCell ref="B36:M36"/>
    <mergeCell ref="B37:M37"/>
    <mergeCell ref="B38:M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B82F6"/>
    <pageSetUpPr fitToPage="false"/>
  </sheetPr>
  <dimension ref="A1:I42"/>
  <sheetViews>
    <sheetView showFormulas="false" showGridLines="fals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8" min="2" style="0" width="14"/>
    <col collapsed="false" customWidth="true" hidden="false" outlineLevel="0" max="9" min="9" style="0" width="2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</row>
    <row r="2" customFormat="false" ht="43.5" hidden="false" customHeight="true" outlineLevel="0" collapsed="false">
      <c r="A2" s="1"/>
      <c r="B2" s="40" t="s">
        <v>52</v>
      </c>
      <c r="C2" s="40"/>
      <c r="D2" s="40"/>
      <c r="E2" s="40"/>
      <c r="F2" s="40"/>
      <c r="G2" s="40"/>
      <c r="H2" s="40"/>
      <c r="I2" s="1"/>
    </row>
    <row r="3" customFormat="false" ht="24" hidden="false" customHeight="true" outlineLevel="0" collapsed="false">
      <c r="A3" s="1"/>
      <c r="B3" s="25" t="s">
        <v>53</v>
      </c>
      <c r="C3" s="25"/>
      <c r="D3" s="25"/>
      <c r="E3" s="25"/>
      <c r="F3" s="25"/>
      <c r="G3" s="25"/>
      <c r="H3" s="25"/>
      <c r="I3" s="1"/>
    </row>
    <row r="4" customFormat="false" ht="7.5" hidden="false" customHeight="true" outlineLevel="0" collapsed="false">
      <c r="A4" s="1"/>
      <c r="B4" s="41"/>
      <c r="C4" s="41"/>
      <c r="D4" s="41"/>
      <c r="E4" s="41"/>
      <c r="F4" s="41"/>
      <c r="G4" s="41"/>
      <c r="H4" s="41"/>
      <c r="I4" s="1"/>
    </row>
    <row r="5" customFormat="false" ht="27.75" hidden="false" customHeight="true" outlineLevel="0" collapsed="false">
      <c r="A5" s="1"/>
      <c r="B5" s="42" t="s">
        <v>54</v>
      </c>
      <c r="C5" s="42" t="s">
        <v>55</v>
      </c>
      <c r="D5" s="42" t="s">
        <v>56</v>
      </c>
      <c r="E5" s="42" t="s">
        <v>57</v>
      </c>
      <c r="F5" s="42" t="s">
        <v>58</v>
      </c>
      <c r="G5" s="42" t="s">
        <v>59</v>
      </c>
      <c r="H5" s="42" t="s">
        <v>60</v>
      </c>
      <c r="I5" s="1"/>
    </row>
    <row r="6" customFormat="false" ht="24" hidden="false" customHeight="true" outlineLevel="0" collapsed="false">
      <c r="A6" s="1"/>
      <c r="B6" s="43" t="s">
        <v>61</v>
      </c>
      <c r="C6" s="44" t="n">
        <v>0</v>
      </c>
      <c r="D6" s="45" t="n">
        <f aca="false">'Command Center'!E11+C6</f>
        <v>450</v>
      </c>
      <c r="E6" s="46" t="n">
        <f aca="false">'Command Center'!E13</f>
        <v>150</v>
      </c>
      <c r="F6" s="47" t="n">
        <f aca="false">IF(E6&gt;0,C6/E6,0)</f>
        <v>0</v>
      </c>
      <c r="G6" s="48" t="str">
        <f aca="false">IF(C6&gt;=E6,"✅ Hit","❌ Miss")</f>
        <v>❌ Miss</v>
      </c>
      <c r="H6" s="49"/>
      <c r="I6" s="1"/>
    </row>
    <row r="7" customFormat="false" ht="24" hidden="false" customHeight="true" outlineLevel="0" collapsed="false">
      <c r="A7" s="1"/>
      <c r="B7" s="50" t="s">
        <v>62</v>
      </c>
      <c r="C7" s="44" t="n">
        <v>0</v>
      </c>
      <c r="D7" s="51" t="n">
        <f aca="false">D6+C7</f>
        <v>450</v>
      </c>
      <c r="E7" s="52" t="n">
        <f aca="false">'Command Center'!E13</f>
        <v>150</v>
      </c>
      <c r="F7" s="53" t="n">
        <f aca="false">IF(E7&gt;0,C7/E7,0)</f>
        <v>0</v>
      </c>
      <c r="G7" s="54" t="str">
        <f aca="false">IF(C7&gt;=E7,"✅ Hit","❌ Miss")</f>
        <v>❌ Miss</v>
      </c>
      <c r="H7" s="55"/>
      <c r="I7" s="1"/>
    </row>
    <row r="8" customFormat="false" ht="24" hidden="false" customHeight="true" outlineLevel="0" collapsed="false">
      <c r="A8" s="1"/>
      <c r="B8" s="43" t="s">
        <v>63</v>
      </c>
      <c r="C8" s="44" t="n">
        <v>0</v>
      </c>
      <c r="D8" s="45" t="n">
        <f aca="false">D7+C8</f>
        <v>450</v>
      </c>
      <c r="E8" s="46" t="n">
        <f aca="false">'Command Center'!E13</f>
        <v>150</v>
      </c>
      <c r="F8" s="47" t="n">
        <f aca="false">IF(E8&gt;0,C8/E8,0)</f>
        <v>0</v>
      </c>
      <c r="G8" s="48" t="str">
        <f aca="false">IF(C8&gt;=E8,"✅ Hit","❌ Miss")</f>
        <v>❌ Miss</v>
      </c>
      <c r="H8" s="49"/>
      <c r="I8" s="1"/>
    </row>
    <row r="9" customFormat="false" ht="24" hidden="false" customHeight="true" outlineLevel="0" collapsed="false">
      <c r="A9" s="1"/>
      <c r="B9" s="50" t="s">
        <v>64</v>
      </c>
      <c r="C9" s="44" t="n">
        <v>0</v>
      </c>
      <c r="D9" s="51" t="n">
        <f aca="false">D8+C9</f>
        <v>450</v>
      </c>
      <c r="E9" s="52" t="n">
        <f aca="false">'Command Center'!E13</f>
        <v>150</v>
      </c>
      <c r="F9" s="53" t="n">
        <f aca="false">IF(E9&gt;0,C9/E9,0)</f>
        <v>0</v>
      </c>
      <c r="G9" s="54" t="str">
        <f aca="false">IF(C9&gt;=E9,"✅ Hit","❌ Miss")</f>
        <v>❌ Miss</v>
      </c>
      <c r="H9" s="55"/>
      <c r="I9" s="1"/>
    </row>
    <row r="10" customFormat="false" ht="24" hidden="false" customHeight="true" outlineLevel="0" collapsed="false">
      <c r="A10" s="1"/>
      <c r="B10" s="43" t="s">
        <v>65</v>
      </c>
      <c r="C10" s="44" t="n">
        <v>0</v>
      </c>
      <c r="D10" s="45" t="n">
        <f aca="false">D9+C10</f>
        <v>450</v>
      </c>
      <c r="E10" s="46" t="n">
        <f aca="false">'Command Center'!E13</f>
        <v>150</v>
      </c>
      <c r="F10" s="47" t="n">
        <f aca="false">IF(E10&gt;0,C10/E10,0)</f>
        <v>0</v>
      </c>
      <c r="G10" s="48" t="str">
        <f aca="false">IF(C10&gt;=E10,"✅ Hit","❌ Miss")</f>
        <v>❌ Miss</v>
      </c>
      <c r="H10" s="49"/>
      <c r="I10" s="1"/>
    </row>
    <row r="11" customFormat="false" ht="24" hidden="false" customHeight="true" outlineLevel="0" collapsed="false">
      <c r="A11" s="1"/>
      <c r="B11" s="50" t="s">
        <v>66</v>
      </c>
      <c r="C11" s="44" t="n">
        <v>0</v>
      </c>
      <c r="D11" s="51" t="n">
        <f aca="false">D10+C11</f>
        <v>450</v>
      </c>
      <c r="E11" s="52" t="n">
        <f aca="false">'Command Center'!E13</f>
        <v>150</v>
      </c>
      <c r="F11" s="53" t="n">
        <f aca="false">IF(E11&gt;0,C11/E11,0)</f>
        <v>0</v>
      </c>
      <c r="G11" s="54" t="str">
        <f aca="false">IF(C11&gt;=E11,"✅ Hit","❌ Miss")</f>
        <v>❌ Miss</v>
      </c>
      <c r="H11" s="55"/>
      <c r="I11" s="1"/>
    </row>
    <row r="12" customFormat="false" ht="24" hidden="false" customHeight="true" outlineLevel="0" collapsed="false">
      <c r="A12" s="1"/>
      <c r="B12" s="43" t="s">
        <v>67</v>
      </c>
      <c r="C12" s="44" t="n">
        <v>0</v>
      </c>
      <c r="D12" s="45" t="n">
        <f aca="false">D11+C12</f>
        <v>450</v>
      </c>
      <c r="E12" s="46" t="n">
        <f aca="false">'Command Center'!E13</f>
        <v>150</v>
      </c>
      <c r="F12" s="47" t="n">
        <f aca="false">IF(E12&gt;0,C12/E12,0)</f>
        <v>0</v>
      </c>
      <c r="G12" s="48" t="str">
        <f aca="false">IF(C12&gt;=E12,"✅ Hit","❌ Miss")</f>
        <v>❌ Miss</v>
      </c>
      <c r="H12" s="49"/>
      <c r="I12" s="1"/>
    </row>
    <row r="13" customFormat="false" ht="24" hidden="false" customHeight="true" outlineLevel="0" collapsed="false">
      <c r="A13" s="1"/>
      <c r="B13" s="50" t="s">
        <v>68</v>
      </c>
      <c r="C13" s="44" t="n">
        <v>0</v>
      </c>
      <c r="D13" s="51" t="n">
        <f aca="false">D12+C13</f>
        <v>450</v>
      </c>
      <c r="E13" s="52" t="n">
        <f aca="false">'Command Center'!E13</f>
        <v>150</v>
      </c>
      <c r="F13" s="53" t="n">
        <f aca="false">IF(E13&gt;0,C13/E13,0)</f>
        <v>0</v>
      </c>
      <c r="G13" s="54" t="str">
        <f aca="false">IF(C13&gt;=E13,"✅ Hit","❌ Miss")</f>
        <v>❌ Miss</v>
      </c>
      <c r="H13" s="55"/>
      <c r="I13" s="1"/>
    </row>
    <row r="14" customFormat="false" ht="24" hidden="false" customHeight="true" outlineLevel="0" collapsed="false">
      <c r="A14" s="1"/>
      <c r="B14" s="43" t="s">
        <v>69</v>
      </c>
      <c r="C14" s="44" t="n">
        <v>0</v>
      </c>
      <c r="D14" s="45" t="n">
        <f aca="false">D13+C14</f>
        <v>450</v>
      </c>
      <c r="E14" s="46" t="n">
        <f aca="false">'Command Center'!E13</f>
        <v>150</v>
      </c>
      <c r="F14" s="47" t="n">
        <f aca="false">IF(E14&gt;0,C14/E14,0)</f>
        <v>0</v>
      </c>
      <c r="G14" s="48" t="str">
        <f aca="false">IF(C14&gt;=E14,"✅ Hit","❌ Miss")</f>
        <v>❌ Miss</v>
      </c>
      <c r="H14" s="49"/>
      <c r="I14" s="1"/>
    </row>
    <row r="15" customFormat="false" ht="24" hidden="false" customHeight="true" outlineLevel="0" collapsed="false">
      <c r="A15" s="1"/>
      <c r="B15" s="50" t="s">
        <v>70</v>
      </c>
      <c r="C15" s="44" t="n">
        <v>0</v>
      </c>
      <c r="D15" s="51" t="n">
        <f aca="false">D14+C15</f>
        <v>450</v>
      </c>
      <c r="E15" s="52" t="n">
        <f aca="false">'Command Center'!E13</f>
        <v>150</v>
      </c>
      <c r="F15" s="53" t="n">
        <f aca="false">IF(E15&gt;0,C15/E15,0)</f>
        <v>0</v>
      </c>
      <c r="G15" s="54" t="str">
        <f aca="false">IF(C15&gt;=E15,"✅ Hit","❌ Miss")</f>
        <v>❌ Miss</v>
      </c>
      <c r="H15" s="55"/>
      <c r="I15" s="1"/>
    </row>
    <row r="16" customFormat="false" ht="24" hidden="false" customHeight="true" outlineLevel="0" collapsed="false">
      <c r="A16" s="1"/>
      <c r="B16" s="43" t="s">
        <v>71</v>
      </c>
      <c r="C16" s="44" t="n">
        <v>0</v>
      </c>
      <c r="D16" s="45" t="n">
        <f aca="false">D15+C16</f>
        <v>450</v>
      </c>
      <c r="E16" s="46" t="n">
        <f aca="false">'Command Center'!E13</f>
        <v>150</v>
      </c>
      <c r="F16" s="47" t="n">
        <f aca="false">IF(E16&gt;0,C16/E16,0)</f>
        <v>0</v>
      </c>
      <c r="G16" s="48" t="str">
        <f aca="false">IF(C16&gt;=E16,"✅ Hit","❌ Miss")</f>
        <v>❌ Miss</v>
      </c>
      <c r="H16" s="49"/>
      <c r="I16" s="1"/>
    </row>
    <row r="17" customFormat="false" ht="24" hidden="false" customHeight="true" outlineLevel="0" collapsed="false">
      <c r="A17" s="1"/>
      <c r="B17" s="50" t="s">
        <v>72</v>
      </c>
      <c r="C17" s="44" t="n">
        <v>0</v>
      </c>
      <c r="D17" s="51" t="n">
        <f aca="false">D16+C17</f>
        <v>450</v>
      </c>
      <c r="E17" s="52" t="n">
        <f aca="false">'Command Center'!E13</f>
        <v>150</v>
      </c>
      <c r="F17" s="53" t="n">
        <f aca="false">IF(E17&gt;0,C17/E17,0)</f>
        <v>0</v>
      </c>
      <c r="G17" s="54" t="str">
        <f aca="false">IF(C17&gt;=E17,"✅ Hit","❌ Miss")</f>
        <v>❌ Miss</v>
      </c>
      <c r="H17" s="55"/>
      <c r="I17" s="1"/>
    </row>
    <row r="18" customFormat="false" ht="27.75" hidden="false" customHeight="true" outlineLevel="0" collapsed="false">
      <c r="A18" s="1"/>
      <c r="B18" s="56" t="s">
        <v>73</v>
      </c>
      <c r="C18" s="57" t="n">
        <f aca="false">SUM(C6:C17)</f>
        <v>0</v>
      </c>
      <c r="D18" s="57" t="n">
        <f aca="false">D17</f>
        <v>450</v>
      </c>
      <c r="E18" s="58"/>
      <c r="F18" s="56" t="str">
        <f aca="false">COUNTIF(G6:G17,"✅ Hit")&amp;"/12 months hit"</f>
        <v>0/12 months hit</v>
      </c>
      <c r="G18" s="58"/>
      <c r="H18" s="58"/>
      <c r="I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</row>
    <row r="41" customFormat="false" ht="25.5" hidden="false" customHeight="true" outlineLevel="0" collapsed="false">
      <c r="A41" s="1"/>
      <c r="B41" s="38" t="s">
        <v>74</v>
      </c>
      <c r="C41" s="38"/>
      <c r="D41" s="38"/>
      <c r="E41" s="38"/>
      <c r="F41" s="38"/>
      <c r="G41" s="38"/>
      <c r="H41" s="38"/>
      <c r="I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</row>
  </sheetData>
  <mergeCells count="4">
    <mergeCell ref="B2:H2"/>
    <mergeCell ref="B3:H3"/>
    <mergeCell ref="B4:H4"/>
    <mergeCell ref="B41:H4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59E0B"/>
    <pageSetUpPr fitToPage="false"/>
  </sheetPr>
  <dimension ref="A1:G45"/>
  <sheetViews>
    <sheetView showFormulas="false" showGridLines="fals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0"/>
    <col collapsed="false" customWidth="true" hidden="false" outlineLevel="0" max="5" min="3" style="0" width="12"/>
    <col collapsed="false" customWidth="true" hidden="false" outlineLevel="0" max="6" min="6" style="0" width="14"/>
    <col collapsed="false" customWidth="true" hidden="false" outlineLevel="0" max="7" min="7" style="0" width="2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  <c r="G1" s="1"/>
    </row>
    <row r="2" customFormat="false" ht="43.5" hidden="false" customHeight="true" outlineLevel="0" collapsed="false">
      <c r="A2" s="1"/>
      <c r="B2" s="59" t="s">
        <v>75</v>
      </c>
      <c r="C2" s="59"/>
      <c r="D2" s="59"/>
      <c r="E2" s="59"/>
      <c r="F2" s="59"/>
      <c r="G2" s="1"/>
    </row>
    <row r="3" customFormat="false" ht="24" hidden="false" customHeight="true" outlineLevel="0" collapsed="false">
      <c r="A3" s="1"/>
      <c r="B3" s="25" t="s">
        <v>76</v>
      </c>
      <c r="C3" s="25"/>
      <c r="D3" s="25"/>
      <c r="E3" s="25"/>
      <c r="F3" s="25"/>
      <c r="G3" s="1"/>
    </row>
    <row r="4" customFormat="false" ht="7.5" hidden="false" customHeight="true" outlineLevel="0" collapsed="false">
      <c r="A4" s="1"/>
      <c r="B4" s="60"/>
      <c r="C4" s="60"/>
      <c r="D4" s="60"/>
      <c r="E4" s="60"/>
      <c r="F4" s="60"/>
      <c r="G4" s="1"/>
    </row>
    <row r="5" customFormat="false" ht="27.75" hidden="false" customHeight="true" outlineLevel="0" collapsed="false">
      <c r="A5" s="1"/>
      <c r="B5" s="61" t="s">
        <v>77</v>
      </c>
      <c r="C5" s="61" t="s">
        <v>78</v>
      </c>
      <c r="D5" s="61" t="s">
        <v>79</v>
      </c>
      <c r="E5" s="61" t="s">
        <v>80</v>
      </c>
      <c r="F5" s="61" t="s">
        <v>81</v>
      </c>
      <c r="G5" s="1"/>
    </row>
    <row r="6" customFormat="false" ht="22.5" hidden="false" customHeight="true" outlineLevel="0" collapsed="false">
      <c r="A6" s="1"/>
      <c r="B6" s="62" t="s">
        <v>82</v>
      </c>
      <c r="C6" s="63" t="n">
        <v>45</v>
      </c>
      <c r="D6" s="63" t="n">
        <v>15</v>
      </c>
      <c r="E6" s="64" t="n">
        <f aca="false">C6-D6</f>
        <v>30</v>
      </c>
      <c r="F6" s="64" t="n">
        <f aca="false">E6*12</f>
        <v>360</v>
      </c>
      <c r="G6" s="1"/>
    </row>
    <row r="7" customFormat="false" ht="22.5" hidden="false" customHeight="true" outlineLevel="0" collapsed="false">
      <c r="A7" s="1"/>
      <c r="B7" s="65" t="s">
        <v>83</v>
      </c>
      <c r="C7" s="63" t="n">
        <v>11</v>
      </c>
      <c r="D7" s="63" t="n">
        <v>0</v>
      </c>
      <c r="E7" s="66" t="n">
        <f aca="false">C7-D7</f>
        <v>11</v>
      </c>
      <c r="F7" s="66" t="n">
        <f aca="false">E7*12</f>
        <v>132</v>
      </c>
      <c r="G7" s="1"/>
    </row>
    <row r="8" customFormat="false" ht="22.5" hidden="false" customHeight="true" outlineLevel="0" collapsed="false">
      <c r="A8" s="1"/>
      <c r="B8" s="62" t="s">
        <v>84</v>
      </c>
      <c r="C8" s="63" t="n">
        <v>140</v>
      </c>
      <c r="D8" s="63" t="n">
        <v>40</v>
      </c>
      <c r="E8" s="64" t="n">
        <f aca="false">C8-D8</f>
        <v>100</v>
      </c>
      <c r="F8" s="64" t="n">
        <f aca="false">E8*12</f>
        <v>1200</v>
      </c>
      <c r="G8" s="1"/>
    </row>
    <row r="9" customFormat="false" ht="22.5" hidden="false" customHeight="true" outlineLevel="0" collapsed="false">
      <c r="A9" s="1"/>
      <c r="B9" s="65" t="s">
        <v>85</v>
      </c>
      <c r="C9" s="63" t="n">
        <v>65</v>
      </c>
      <c r="D9" s="63" t="n">
        <v>20</v>
      </c>
      <c r="E9" s="66" t="n">
        <f aca="false">C9-D9</f>
        <v>45</v>
      </c>
      <c r="F9" s="66" t="n">
        <f aca="false">E9*12</f>
        <v>540</v>
      </c>
      <c r="G9" s="1"/>
    </row>
    <row r="10" customFormat="false" ht="22.5" hidden="false" customHeight="true" outlineLevel="0" collapsed="false">
      <c r="A10" s="1"/>
      <c r="B10" s="62" t="s">
        <v>86</v>
      </c>
      <c r="C10" s="63" t="n">
        <v>45</v>
      </c>
      <c r="D10" s="63" t="n">
        <v>0</v>
      </c>
      <c r="E10" s="64" t="n">
        <f aca="false">C10-D10</f>
        <v>45</v>
      </c>
      <c r="F10" s="64" t="n">
        <f aca="false">E10*12</f>
        <v>540</v>
      </c>
      <c r="G10" s="1"/>
    </row>
    <row r="11" customFormat="false" ht="22.5" hidden="false" customHeight="true" outlineLevel="0" collapsed="false">
      <c r="A11" s="1"/>
      <c r="B11" s="65" t="s">
        <v>87</v>
      </c>
      <c r="C11" s="63" t="n">
        <v>90</v>
      </c>
      <c r="D11" s="63" t="n">
        <v>30</v>
      </c>
      <c r="E11" s="66" t="n">
        <f aca="false">C11-D11</f>
        <v>60</v>
      </c>
      <c r="F11" s="66" t="n">
        <f aca="false">E11*12</f>
        <v>720</v>
      </c>
      <c r="G11" s="1"/>
    </row>
    <row r="12" customFormat="false" ht="22.5" hidden="false" customHeight="true" outlineLevel="0" collapsed="false">
      <c r="A12" s="1"/>
      <c r="B12" s="62" t="s">
        <v>88</v>
      </c>
      <c r="C12" s="63" t="n">
        <v>160</v>
      </c>
      <c r="D12" s="63" t="n">
        <v>60</v>
      </c>
      <c r="E12" s="64" t="n">
        <f aca="false">C12-D12</f>
        <v>100</v>
      </c>
      <c r="F12" s="64" t="n">
        <f aca="false">E12*12</f>
        <v>1200</v>
      </c>
      <c r="G12" s="1"/>
    </row>
    <row r="13" customFormat="false" ht="22.5" hidden="false" customHeight="true" outlineLevel="0" collapsed="false">
      <c r="A13" s="1"/>
      <c r="B13" s="65" t="s">
        <v>89</v>
      </c>
      <c r="C13" s="63" t="n">
        <v>110</v>
      </c>
      <c r="D13" s="63" t="n">
        <v>40</v>
      </c>
      <c r="E13" s="66" t="n">
        <f aca="false">C13-D13</f>
        <v>70</v>
      </c>
      <c r="F13" s="66" t="n">
        <f aca="false">E13*12</f>
        <v>840</v>
      </c>
      <c r="G13" s="1"/>
    </row>
    <row r="14" customFormat="false" ht="22.5" hidden="false" customHeight="true" outlineLevel="0" collapsed="false">
      <c r="A14" s="1"/>
      <c r="B14" s="62" t="s">
        <v>90</v>
      </c>
      <c r="C14" s="63" t="n">
        <v>85</v>
      </c>
      <c r="D14" s="63" t="n">
        <v>35</v>
      </c>
      <c r="E14" s="64" t="n">
        <f aca="false">C14-D14</f>
        <v>50</v>
      </c>
      <c r="F14" s="64" t="n">
        <f aca="false">E14*12</f>
        <v>600</v>
      </c>
      <c r="G14" s="1"/>
    </row>
    <row r="15" customFormat="false" ht="22.5" hidden="false" customHeight="true" outlineLevel="0" collapsed="false">
      <c r="A15" s="1"/>
      <c r="B15" s="65" t="s">
        <v>91</v>
      </c>
      <c r="C15" s="63" t="n">
        <v>55</v>
      </c>
      <c r="D15" s="63" t="n">
        <v>20</v>
      </c>
      <c r="E15" s="66" t="n">
        <f aca="false">C15-D15</f>
        <v>35</v>
      </c>
      <c r="F15" s="66" t="n">
        <f aca="false">E15*12</f>
        <v>420</v>
      </c>
      <c r="G15" s="1"/>
    </row>
    <row r="16" customFormat="false" ht="22.5" hidden="false" customHeight="true" outlineLevel="0" collapsed="false">
      <c r="A16" s="1"/>
      <c r="B16" s="62" t="s">
        <v>92</v>
      </c>
      <c r="C16" s="63" t="n">
        <v>35</v>
      </c>
      <c r="D16" s="63" t="n">
        <v>5</v>
      </c>
      <c r="E16" s="64" t="n">
        <f aca="false">C16-D16</f>
        <v>30</v>
      </c>
      <c r="F16" s="64" t="n">
        <f aca="false">E16*12</f>
        <v>360</v>
      </c>
      <c r="G16" s="1"/>
    </row>
    <row r="17" customFormat="false" ht="22.5" hidden="false" customHeight="true" outlineLevel="0" collapsed="false">
      <c r="A17" s="1"/>
      <c r="B17" s="65" t="s">
        <v>93</v>
      </c>
      <c r="C17" s="63" t="n">
        <v>40</v>
      </c>
      <c r="D17" s="63" t="n">
        <v>10</v>
      </c>
      <c r="E17" s="66" t="n">
        <f aca="false">C17-D17</f>
        <v>30</v>
      </c>
      <c r="F17" s="66" t="n">
        <f aca="false">E17*12</f>
        <v>360</v>
      </c>
      <c r="G17" s="1"/>
    </row>
    <row r="18" customFormat="false" ht="30" hidden="false" customHeight="true" outlineLevel="0" collapsed="false">
      <c r="A18" s="1"/>
      <c r="B18" s="67" t="s">
        <v>94</v>
      </c>
      <c r="C18" s="68" t="n">
        <f aca="false">SUM(C6:C17)</f>
        <v>881</v>
      </c>
      <c r="D18" s="69"/>
      <c r="E18" s="70" t="n">
        <f aca="false">SUM(E6:E17)</f>
        <v>606</v>
      </c>
      <c r="F18" s="70" t="n">
        <f aca="false">SUM(F6:F17)</f>
        <v>7272</v>
      </c>
      <c r="G18" s="1"/>
    </row>
    <row r="19" customFormat="false" ht="27.75" hidden="false" customHeight="true" outlineLevel="0" collapsed="false">
      <c r="A19" s="1"/>
      <c r="B19" s="71" t="str">
        <f aca="false">TEXT(E18,"$#,##0")&amp;"/month freed → Emergency fund in "&amp;TEXT(ROUNDUP('Command Center'!E9*'Command Center'!E7/MAX(E18,1),0),"0")&amp;" months  ·  "&amp;TEXT(F18,"$#,##0")&amp;" reclaimed per year 🚀"</f>
        <v>$606/month freed → Emergency fund in 14 months  ·  $7,272 reclaimed per year 🚀</v>
      </c>
      <c r="C19" s="71"/>
      <c r="D19" s="71"/>
      <c r="E19" s="71"/>
      <c r="F19" s="71"/>
      <c r="G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</row>
    <row r="44" customFormat="false" ht="25.5" hidden="false" customHeight="true" outlineLevel="0" collapsed="false">
      <c r="A44" s="1"/>
      <c r="B44" s="72" t="s">
        <v>95</v>
      </c>
      <c r="C44" s="72"/>
      <c r="D44" s="72"/>
      <c r="E44" s="72"/>
      <c r="F44" s="72"/>
      <c r="G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</row>
  </sheetData>
  <mergeCells count="5">
    <mergeCell ref="B2:F2"/>
    <mergeCell ref="B3:F3"/>
    <mergeCell ref="B4:F4"/>
    <mergeCell ref="B19:F19"/>
    <mergeCell ref="B44:F4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8B5CF6"/>
    <pageSetUpPr fitToPage="false"/>
  </sheetPr>
  <dimension ref="A1:H50"/>
  <sheetViews>
    <sheetView showFormulas="false" showGridLines="fals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12"/>
    <col collapsed="false" customWidth="true" hidden="false" outlineLevel="0" max="7" min="3" style="0" width="14"/>
    <col collapsed="false" customWidth="true" hidden="false" outlineLevel="0" max="8" min="8" style="0" width="2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  <c r="G1" s="1"/>
      <c r="H1" s="1"/>
    </row>
    <row r="2" customFormat="false" ht="43.5" hidden="false" customHeight="true" outlineLevel="0" collapsed="false">
      <c r="A2" s="1"/>
      <c r="B2" s="73" t="s">
        <v>96</v>
      </c>
      <c r="C2" s="73"/>
      <c r="D2" s="73"/>
      <c r="E2" s="73"/>
      <c r="F2" s="73"/>
      <c r="G2" s="73"/>
      <c r="H2" s="1"/>
    </row>
    <row r="3" customFormat="false" ht="24" hidden="false" customHeight="true" outlineLevel="0" collapsed="false">
      <c r="A3" s="1"/>
      <c r="B3" s="25" t="s">
        <v>97</v>
      </c>
      <c r="C3" s="25"/>
      <c r="D3" s="25"/>
      <c r="E3" s="25"/>
      <c r="F3" s="25"/>
      <c r="G3" s="25"/>
      <c r="H3" s="1"/>
    </row>
    <row r="4" customFormat="false" ht="7.5" hidden="false" customHeight="true" outlineLevel="0" collapsed="false">
      <c r="A4" s="1"/>
      <c r="B4" s="74"/>
      <c r="C4" s="74"/>
      <c r="D4" s="74"/>
      <c r="E4" s="74"/>
      <c r="F4" s="74"/>
      <c r="G4" s="74"/>
      <c r="H4" s="1"/>
    </row>
    <row r="5" customFormat="false" ht="27.75" hidden="false" customHeight="true" outlineLevel="0" collapsed="false">
      <c r="A5" s="1"/>
      <c r="B5" s="75" t="s">
        <v>54</v>
      </c>
      <c r="C5" s="75" t="s">
        <v>98</v>
      </c>
      <c r="D5" s="75" t="s">
        <v>99</v>
      </c>
      <c r="E5" s="75" t="s">
        <v>100</v>
      </c>
      <c r="F5" s="75" t="s">
        <v>58</v>
      </c>
      <c r="G5" s="75" t="s">
        <v>29</v>
      </c>
      <c r="H5" s="1"/>
    </row>
    <row r="6" customFormat="false" ht="24" hidden="false" customHeight="true" outlineLevel="0" collapsed="false">
      <c r="A6" s="1"/>
      <c r="B6" s="43" t="s">
        <v>101</v>
      </c>
      <c r="C6" s="76" t="n">
        <f aca="false">'Command Center'!E11+('Command Center'!E13*1)</f>
        <v>600</v>
      </c>
      <c r="D6" s="77" t="n">
        <f aca="false">'Command Center'!E11*(1+0.00375)^1+'Command Center'!E13*((1+0.00375)^1-1)/0.00375</f>
        <v>601.687499999997</v>
      </c>
      <c r="E6" s="78" t="n">
        <f aca="false">D6-C6</f>
        <v>1.68749999999682</v>
      </c>
      <c r="F6" s="47" t="n">
        <f aca="false">IF('Command Center'!E9*'Command Center'!E7&gt;0,MIN(D6/('Command Center'!E9*'Command Center'!E7),1),0)</f>
        <v>0.0716294642857139</v>
      </c>
      <c r="G6" s="79" t="str">
        <f aca="false">IF(F6&gt;=1,"🎉 GOAL HIT",IF(F6&gt;=0.75,"🔥 Almost there!",IF(F6&gt;=0.5,"💪 Halfway!",IF(F6&gt;=0.25,"📈 Building up...","🌱 Getting started"))))</f>
        <v>🌱 Getting started</v>
      </c>
      <c r="H6" s="1"/>
    </row>
    <row r="7" customFormat="false" ht="24" hidden="false" customHeight="true" outlineLevel="0" collapsed="false">
      <c r="A7" s="1"/>
      <c r="B7" s="50" t="s">
        <v>102</v>
      </c>
      <c r="C7" s="80" t="n">
        <f aca="false">'Command Center'!E11+('Command Center'!E13*2)</f>
        <v>750</v>
      </c>
      <c r="D7" s="81" t="n">
        <f aca="false">'Command Center'!E11*(1+0.00375)^2+'Command Center'!E13*((1+0.00375)^2-1)/0.00375</f>
        <v>753.943828124995</v>
      </c>
      <c r="E7" s="82" t="n">
        <f aca="false">D7-C7</f>
        <v>3.94382812499453</v>
      </c>
      <c r="F7" s="53" t="n">
        <f aca="false">IF('Command Center'!E9*'Command Center'!E7&gt;0,MIN(D7/('Command Center'!E9*'Command Center'!E7),1),0)</f>
        <v>0.0897552176339279</v>
      </c>
      <c r="G7" s="83" t="str">
        <f aca="false">IF(F7&gt;=1,"🎉 GOAL HIT",IF(F7&gt;=0.75,"🔥 Almost there!",IF(F7&gt;=0.5,"💪 Halfway!",IF(F7&gt;=0.25,"📈 Building up...","🌱 Getting started"))))</f>
        <v>🌱 Getting started</v>
      </c>
      <c r="H7" s="1"/>
    </row>
    <row r="8" customFormat="false" ht="24" hidden="false" customHeight="true" outlineLevel="0" collapsed="false">
      <c r="A8" s="1"/>
      <c r="B8" s="43" t="s">
        <v>103</v>
      </c>
      <c r="C8" s="76" t="n">
        <f aca="false">'Command Center'!E11+('Command Center'!E13*3)</f>
        <v>900</v>
      </c>
      <c r="D8" s="77" t="n">
        <f aca="false">'Command Center'!E11*(1+0.00375)^3+'Command Center'!E13*((1+0.00375)^3-1)/0.00375</f>
        <v>906.771117480457</v>
      </c>
      <c r="E8" s="78" t="n">
        <f aca="false">D8-C8</f>
        <v>6.7711174804565</v>
      </c>
      <c r="F8" s="47" t="n">
        <f aca="false">IF('Command Center'!E9*'Command Center'!E7&gt;0,MIN(D8/('Command Center'!E9*'Command Center'!E7),1),0)</f>
        <v>0.107948942557197</v>
      </c>
      <c r="G8" s="79" t="str">
        <f aca="false">IF(F8&gt;=1,"🎉 GOAL HIT",IF(F8&gt;=0.75,"🔥 Almost there!",IF(F8&gt;=0.5,"💪 Halfway!",IF(F8&gt;=0.25,"📈 Building up...","🌱 Getting started"))))</f>
        <v>🌱 Getting started</v>
      </c>
      <c r="H8" s="1"/>
    </row>
    <row r="9" customFormat="false" ht="24" hidden="false" customHeight="true" outlineLevel="0" collapsed="false">
      <c r="A9" s="1"/>
      <c r="B9" s="50" t="s">
        <v>104</v>
      </c>
      <c r="C9" s="80" t="n">
        <f aca="false">'Command Center'!E11+('Command Center'!E13*4)</f>
        <v>1050</v>
      </c>
      <c r="D9" s="81" t="n">
        <f aca="false">'Command Center'!E11*(1+0.00375)^4+'Command Center'!E13*((1+0.00375)^4-1)/0.00375</f>
        <v>1060.17150917101</v>
      </c>
      <c r="E9" s="82" t="n">
        <f aca="false">D9-C9</f>
        <v>10.1715091710057</v>
      </c>
      <c r="F9" s="53" t="n">
        <f aca="false">IF('Command Center'!E9*'Command Center'!E7&gt;0,MIN(D9/('Command Center'!E9*'Command Center'!E7),1),0)</f>
        <v>0.126210893948929</v>
      </c>
      <c r="G9" s="83" t="str">
        <f aca="false">IF(F9&gt;=1,"🎉 GOAL HIT",IF(F9&gt;=0.75,"🔥 Almost there!",IF(F9&gt;=0.5,"💪 Halfway!",IF(F9&gt;=0.25,"📈 Building up...","🌱 Getting started"))))</f>
        <v>🌱 Getting started</v>
      </c>
      <c r="H9" s="1"/>
    </row>
    <row r="10" customFormat="false" ht="24" hidden="false" customHeight="true" outlineLevel="0" collapsed="false">
      <c r="A10" s="1"/>
      <c r="B10" s="43" t="s">
        <v>105</v>
      </c>
      <c r="C10" s="76" t="n">
        <f aca="false">'Command Center'!E11+('Command Center'!E13*5)</f>
        <v>1200</v>
      </c>
      <c r="D10" s="77" t="n">
        <f aca="false">'Command Center'!E11*(1+0.00375)^5+'Command Center'!E13*((1+0.00375)^5-1)/0.00375</f>
        <v>1214.1471523304</v>
      </c>
      <c r="E10" s="78" t="n">
        <f aca="false">D10-C10</f>
        <v>14.1471523303971</v>
      </c>
      <c r="F10" s="47" t="n">
        <f aca="false">IF('Command Center'!E9*'Command Center'!E7&gt;0,MIN(D10/('Command Center'!E9*'Command Center'!E7),1),0)</f>
        <v>0.144541327658381</v>
      </c>
      <c r="G10" s="79" t="str">
        <f aca="false">IF(F10&gt;=1,"🎉 GOAL HIT",IF(F10&gt;=0.75,"🔥 Almost there!",IF(F10&gt;=0.5,"💪 Halfway!",IF(F10&gt;=0.25,"📈 Building up...","🌱 Getting started"))))</f>
        <v>🌱 Getting started</v>
      </c>
      <c r="H10" s="1"/>
    </row>
    <row r="11" customFormat="false" ht="24" hidden="false" customHeight="true" outlineLevel="0" collapsed="false">
      <c r="A11" s="1"/>
      <c r="B11" s="50" t="s">
        <v>106</v>
      </c>
      <c r="C11" s="80" t="n">
        <f aca="false">'Command Center'!E11+('Command Center'!E13*6)</f>
        <v>1350</v>
      </c>
      <c r="D11" s="81" t="n">
        <f aca="false">'Command Center'!E11*(1+0.00375)^6+'Command Center'!E13*((1+0.00375)^6-1)/0.00375</f>
        <v>1368.70020415163</v>
      </c>
      <c r="E11" s="82" t="n">
        <f aca="false">D11-C11</f>
        <v>18.7002041516328</v>
      </c>
      <c r="F11" s="53" t="n">
        <f aca="false">IF('Command Center'!E9*'Command Center'!E7&gt;0,MIN(D11/('Command Center'!E9*'Command Center'!E7),1),0)</f>
        <v>0.162940500494242</v>
      </c>
      <c r="G11" s="83" t="str">
        <f aca="false">IF(F11&gt;=1,"🎉 GOAL HIT",IF(F11&gt;=0.75,"🔥 Almost there!",IF(F11&gt;=0.5,"💪 Halfway!",IF(F11&gt;=0.25,"📈 Building up...","🌱 Getting started"))))</f>
        <v>🌱 Getting started</v>
      </c>
      <c r="H11" s="1"/>
    </row>
    <row r="12" customFormat="false" ht="24" hidden="false" customHeight="true" outlineLevel="0" collapsed="false">
      <c r="A12" s="1"/>
      <c r="B12" s="43" t="s">
        <v>107</v>
      </c>
      <c r="C12" s="76" t="n">
        <f aca="false">'Command Center'!E11+('Command Center'!E13*9)</f>
        <v>1800</v>
      </c>
      <c r="D12" s="77" t="n">
        <f aca="false">'Command Center'!E11*(1+0.00375)^9+'Command Center'!E13*((1+0.00375)^9-1)/0.00375</f>
        <v>1835.84550504074</v>
      </c>
      <c r="E12" s="78" t="n">
        <f aca="false">D12-C12</f>
        <v>35.8455050407429</v>
      </c>
      <c r="F12" s="47" t="n">
        <f aca="false">IF('Command Center'!E9*'Command Center'!E7&gt;0,MIN(D12/('Command Center'!E9*'Command Center'!E7),1),0)</f>
        <v>0.218553036314374</v>
      </c>
      <c r="G12" s="79" t="str">
        <f aca="false">IF(F12&gt;=1,"🎉 GOAL HIT",IF(F12&gt;=0.75,"🔥 Almost there!",IF(F12&gt;=0.5,"💪 Halfway!",IF(F12&gt;=0.25,"📈 Building up...","🌱 Getting started"))))</f>
        <v>🌱 Getting started</v>
      </c>
      <c r="H12" s="1"/>
    </row>
    <row r="13" customFormat="false" ht="24" hidden="false" customHeight="true" outlineLevel="0" collapsed="false">
      <c r="A13" s="1"/>
      <c r="B13" s="50" t="s">
        <v>108</v>
      </c>
      <c r="C13" s="80" t="n">
        <f aca="false">'Command Center'!E11+('Command Center'!E13*12)</f>
        <v>2250</v>
      </c>
      <c r="D13" s="81" t="n">
        <f aca="false">'Command Center'!E11*(1+0.00375)^12+'Command Center'!E13*((1+0.00375)^12-1)/0.00375</f>
        <v>2308.26592289185</v>
      </c>
      <c r="E13" s="82" t="n">
        <f aca="false">D13-C13</f>
        <v>58.2659228918483</v>
      </c>
      <c r="F13" s="53" t="n">
        <f aca="false">IF('Command Center'!E9*'Command Center'!E7&gt;0,MIN(D13/('Command Center'!E9*'Command Center'!E7),1),0)</f>
        <v>0.27479356224903</v>
      </c>
      <c r="G13" s="83" t="str">
        <f aca="false">IF(F13&gt;=1,"🎉 GOAL HIT",IF(F13&gt;=0.75,"🔥 Almost there!",IF(F13&gt;=0.5,"💪 Halfway!",IF(F13&gt;=0.25,"📈 Building up...","🌱 Getting started"))))</f>
        <v>📈 Building up...</v>
      </c>
      <c r="H13" s="1"/>
    </row>
    <row r="14" customFormat="false" ht="24" hidden="false" customHeight="true" outlineLevel="0" collapsed="false">
      <c r="A14" s="1"/>
      <c r="B14" s="43" t="s">
        <v>109</v>
      </c>
      <c r="C14" s="76" t="n">
        <f aca="false">'Command Center'!E11+('Command Center'!E13*15)</f>
        <v>2700</v>
      </c>
      <c r="D14" s="77" t="n">
        <f aca="false">'Command Center'!E11*(1+0.00375)^15+'Command Center'!E13*((1+0.00375)^15-1)/0.00375</f>
        <v>2786.02102559296</v>
      </c>
      <c r="E14" s="78" t="n">
        <f aca="false">D14-C14</f>
        <v>86.021025592956</v>
      </c>
      <c r="F14" s="47" t="n">
        <f aca="false">IF('Command Center'!E9*'Command Center'!E7&gt;0,MIN(D14/('Command Center'!E9*'Command Center'!E7),1),0)</f>
        <v>0.331669169713447</v>
      </c>
      <c r="G14" s="79" t="str">
        <f aca="false">IF(F14&gt;=1,"🎉 GOAL HIT",IF(F14&gt;=0.75,"🔥 Almost there!",IF(F14&gt;=0.5,"💪 Halfway!",IF(F14&gt;=0.25,"📈 Building up...","🌱 Getting started"))))</f>
        <v>📈 Building up...</v>
      </c>
      <c r="H14" s="1"/>
    </row>
    <row r="15" customFormat="false" ht="24" hidden="false" customHeight="true" outlineLevel="0" collapsed="false">
      <c r="A15" s="1"/>
      <c r="B15" s="50" t="s">
        <v>110</v>
      </c>
      <c r="C15" s="80" t="n">
        <f aca="false">'Command Center'!E11+('Command Center'!E13*18)</f>
        <v>3150</v>
      </c>
      <c r="D15" s="81" t="n">
        <f aca="false">'Command Center'!E11*(1+0.00375)^18+'Command Center'!E13*((1+0.00375)^18-1)/0.00375</f>
        <v>3269.17105368696</v>
      </c>
      <c r="E15" s="82" t="n">
        <f aca="false">D15-C15</f>
        <v>119.171053686958</v>
      </c>
      <c r="F15" s="53" t="n">
        <f aca="false">IF('Command Center'!E9*'Command Center'!E7&gt;0,MIN(D15/('Command Center'!E9*'Command Center'!E7),1),0)</f>
        <v>0.389187030200828</v>
      </c>
      <c r="G15" s="83" t="str">
        <f aca="false">IF(F15&gt;=1,"🎉 GOAL HIT",IF(F15&gt;=0.75,"🔥 Almost there!",IF(F15&gt;=0.5,"💪 Halfway!",IF(F15&gt;=0.25,"📈 Building up...","🌱 Getting started"))))</f>
        <v>📈 Building up...</v>
      </c>
      <c r="H15" s="1"/>
    </row>
    <row r="16" customFormat="false" ht="24" hidden="false" customHeight="true" outlineLevel="0" collapsed="false">
      <c r="A16" s="1"/>
      <c r="B16" s="43" t="s">
        <v>111</v>
      </c>
      <c r="C16" s="76" t="n">
        <f aca="false">'Command Center'!E11+('Command Center'!E13*21)</f>
        <v>3600</v>
      </c>
      <c r="D16" s="77" t="n">
        <f aca="false">'Command Center'!E11*(1+0.00375)^21+'Command Center'!E13*((1+0.00375)^21-1)/0.00375</f>
        <v>3757.77692796744</v>
      </c>
      <c r="E16" s="78" t="n">
        <f aca="false">D16-C16</f>
        <v>157.776927967443</v>
      </c>
      <c r="F16" s="47" t="n">
        <f aca="false">IF('Command Center'!E9*'Command Center'!E7&gt;0,MIN(D16/('Command Center'!E9*'Command Center'!E7),1),0)</f>
        <v>0.4473543961866</v>
      </c>
      <c r="G16" s="79" t="str">
        <f aca="false">IF(F16&gt;=1,"🎉 GOAL HIT",IF(F16&gt;=0.75,"🔥 Almost there!",IF(F16&gt;=0.5,"💪 Halfway!",IF(F16&gt;=0.25,"📈 Building up...","🌱 Getting started"))))</f>
        <v>📈 Building up...</v>
      </c>
      <c r="H16" s="1"/>
    </row>
    <row r="17" customFormat="false" ht="24" hidden="false" customHeight="true" outlineLevel="0" collapsed="false">
      <c r="A17" s="1"/>
      <c r="B17" s="50" t="s">
        <v>112</v>
      </c>
      <c r="C17" s="80" t="n">
        <f aca="false">'Command Center'!E11+('Command Center'!E13*24)</f>
        <v>4050</v>
      </c>
      <c r="D17" s="81" t="n">
        <f aca="false">'Command Center'!E11*(1+0.00375)^24+'Command Center'!E13*((1+0.00375)^24-1)/0.00375</f>
        <v>4251.90025716023</v>
      </c>
      <c r="E17" s="82" t="n">
        <f aca="false">D17-C17</f>
        <v>201.900257160233</v>
      </c>
      <c r="F17" s="53" t="n">
        <f aca="false">IF('Command Center'!E9*'Command Center'!E7&gt;0,MIN(D17/('Command Center'!E9*'Command Center'!E7),1),0)</f>
        <v>0.506178602042885</v>
      </c>
      <c r="G17" s="83" t="str">
        <f aca="false">IF(F17&gt;=1,"🎉 GOAL HIT",IF(F17&gt;=0.75,"🔥 Almost there!",IF(F17&gt;=0.5,"💪 Halfway!",IF(F17&gt;=0.25,"📈 Building up...","🌱 Getting started"))))</f>
        <v>💪 Halfway!</v>
      </c>
      <c r="H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</row>
    <row r="43" customFormat="false" ht="25.5" hidden="false" customHeight="true" outlineLevel="0" collapsed="false">
      <c r="A43" s="1"/>
      <c r="B43" s="84" t="s">
        <v>113</v>
      </c>
      <c r="C43" s="84"/>
      <c r="D43" s="84"/>
      <c r="E43" s="84"/>
      <c r="F43" s="84"/>
      <c r="G43" s="84"/>
      <c r="H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</row>
  </sheetData>
  <mergeCells count="4">
    <mergeCell ref="B2:G2"/>
    <mergeCell ref="B3:G3"/>
    <mergeCell ref="B4:G4"/>
    <mergeCell ref="B43:G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2026-05-09T08:48:06Z</dcterms:created>
  <dc:creator>openpyxl</dc:creator>
  <dc:description/>
  <dc:language>en-US</dc:language>
  <cp:lastModifiedBy/>
  <dcterms:modified xsi:type="dcterms:W3CDTF">2026-05-09T08:48:23Z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